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3.xml" ContentType="application/vnd.ms-excel.threadedcomments+xml"/>
  <Override PartName="/xl/comments6.xml" ContentType="application/vnd.openxmlformats-officedocument.spreadsheetml.comments+xml"/>
  <Override PartName="/xl/threadedComments/threadedComment4.xml" ContentType="application/vnd.ms-excel.threaded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readedComments/threadedComment5.xml" ContentType="application/vnd.ms-excel.threadedcomments+xml"/>
  <Override PartName="/xl/comments9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 userName="Čechmánková Veronika" algorithmName="SHA-512" hashValue="D27nCc04LEHSZRFir7bEhPA45Fuk3DXp7/E9RsXI1HHlQSIAmXS8sx8d0S+oPsxQv7a2M/vfsNGTNxrLiQ0rGA==" saltValue="qbG9aa5nxEVTkXJsj+kR7w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ka.cechmankova\Desktop\červen\"/>
    </mc:Choice>
  </mc:AlternateContent>
  <xr:revisionPtr revIDLastSave="0" documentId="8_{CEE343F3-E87E-4B7C-840B-F301F009A920}" xr6:coauthVersionLast="47" xr6:coauthVersionMax="47" xr10:uidLastSave="{00000000-0000-0000-0000-000000000000}"/>
  <bookViews>
    <workbookView xWindow="-108" yWindow="-108" windowWidth="23256" windowHeight="13896" activeTab="2" xr2:uid="{AB9A2553-54CA-4A2B-A92C-151C4101069E}"/>
  </bookViews>
  <sheets>
    <sheet name="Výnosy 2026" sheetId="8" r:id="rId1"/>
    <sheet name="Rozpočet 2026" sheetId="9" r:id="rId2"/>
    <sheet name="Ateliery 2026" sheetId="2" r:id="rId3"/>
    <sheet name="Pracoviště 2026" sheetId="3" r:id="rId4"/>
    <sheet name="Požadavky 2026" sheetId="1" state="hidden" r:id="rId5"/>
    <sheet name="Ostatní významné výdaje" sheetId="4" state="hidden" r:id="rId6"/>
    <sheet name="Mzdy 2026" sheetId="5" state="hidden" r:id="rId7"/>
    <sheet name="Ateliery_kalkulace" sheetId="7" r:id="rId8"/>
    <sheet name="SDV" sheetId="11" state="hidden" r:id="rId9"/>
    <sheet name="IT" sheetId="12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4" hidden="1">'Požadavky 2026'!$A$1:$AB$310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9" l="1"/>
  <c r="G9" i="9"/>
  <c r="L32" i="4"/>
  <c r="J33" i="4"/>
  <c r="I14" i="3"/>
  <c r="C4" i="2" l="1"/>
  <c r="M12" i="9"/>
  <c r="D33" i="8"/>
  <c r="I27" i="5"/>
  <c r="M27" i="5"/>
  <c r="K27" i="5"/>
  <c r="AV34" i="11"/>
  <c r="AX34" i="11" s="1"/>
  <c r="L15" i="4"/>
  <c r="U95" i="12"/>
  <c r="U90" i="12"/>
  <c r="U88" i="12"/>
  <c r="V87" i="12"/>
  <c r="U87" i="12"/>
  <c r="U89" i="12" s="1"/>
  <c r="V86" i="12"/>
  <c r="U86" i="12"/>
  <c r="Q83" i="12"/>
  <c r="O83" i="12"/>
  <c r="O86" i="12" s="1"/>
  <c r="Q82" i="12"/>
  <c r="R82" i="12" s="1"/>
  <c r="K82" i="12"/>
  <c r="Q81" i="12"/>
  <c r="R81" i="12" s="1"/>
  <c r="K81" i="12"/>
  <c r="Q80" i="12"/>
  <c r="R80" i="12" s="1"/>
  <c r="K80" i="12"/>
  <c r="Q79" i="12"/>
  <c r="R79" i="12" s="1"/>
  <c r="P79" i="12"/>
  <c r="K79" i="12"/>
  <c r="Q78" i="12"/>
  <c r="R78" i="12" s="1"/>
  <c r="P78" i="12"/>
  <c r="N78" i="12"/>
  <c r="L78" i="12"/>
  <c r="Q77" i="12"/>
  <c r="R77" i="12" s="1"/>
  <c r="K77" i="12"/>
  <c r="W76" i="12"/>
  <c r="Q76" i="12"/>
  <c r="R76" i="12" s="1"/>
  <c r="N76" i="12"/>
  <c r="L76" i="12"/>
  <c r="K76" i="12"/>
  <c r="AJ75" i="12"/>
  <c r="W75" i="12"/>
  <c r="X75" i="12" s="1"/>
  <c r="Z75" i="12" s="1"/>
  <c r="Q75" i="12"/>
  <c r="R75" i="12" s="1"/>
  <c r="N75" i="12"/>
  <c r="L75" i="12"/>
  <c r="AJ74" i="12"/>
  <c r="W74" i="12"/>
  <c r="X74" i="12" s="1"/>
  <c r="Z74" i="12" s="1"/>
  <c r="Q74" i="12"/>
  <c r="Y74" i="12" s="1"/>
  <c r="P74" i="12"/>
  <c r="N74" i="12"/>
  <c r="L74" i="12"/>
  <c r="K74" i="12"/>
  <c r="AJ73" i="12"/>
  <c r="W73" i="12"/>
  <c r="X73" i="12" s="1"/>
  <c r="Z73" i="12" s="1"/>
  <c r="Q73" i="12"/>
  <c r="R73" i="12" s="1"/>
  <c r="P73" i="12"/>
  <c r="N73" i="12"/>
  <c r="L73" i="12"/>
  <c r="K73" i="12"/>
  <c r="AJ72" i="12"/>
  <c r="W72" i="12"/>
  <c r="X72" i="12" s="1"/>
  <c r="Z72" i="12" s="1"/>
  <c r="Q72" i="12"/>
  <c r="R72" i="12" s="1"/>
  <c r="P72" i="12"/>
  <c r="N72" i="12"/>
  <c r="L72" i="12"/>
  <c r="Y72" i="12" s="1"/>
  <c r="K72" i="12"/>
  <c r="AJ71" i="12"/>
  <c r="X71" i="12"/>
  <c r="Z71" i="12" s="1"/>
  <c r="W71" i="12"/>
  <c r="Q71" i="12"/>
  <c r="Y71" i="12" s="1"/>
  <c r="N71" i="12"/>
  <c r="L71" i="12"/>
  <c r="K71" i="12"/>
  <c r="AJ70" i="12"/>
  <c r="W70" i="12"/>
  <c r="X70" i="12" s="1"/>
  <c r="Z70" i="12" s="1"/>
  <c r="Q70" i="12"/>
  <c r="P70" i="12"/>
  <c r="N70" i="12"/>
  <c r="L70" i="12"/>
  <c r="K70" i="12"/>
  <c r="AJ69" i="12"/>
  <c r="W69" i="12"/>
  <c r="X69" i="12" s="1"/>
  <c r="Z69" i="12" s="1"/>
  <c r="Q69" i="12"/>
  <c r="R69" i="12" s="1"/>
  <c r="N69" i="12"/>
  <c r="L69" i="12"/>
  <c r="AJ68" i="12"/>
  <c r="W68" i="12"/>
  <c r="X68" i="12" s="1"/>
  <c r="Z68" i="12" s="1"/>
  <c r="R68" i="12"/>
  <c r="Q68" i="12"/>
  <c r="Y68" i="12" s="1"/>
  <c r="P68" i="12"/>
  <c r="N68" i="12"/>
  <c r="L68" i="12"/>
  <c r="AJ67" i="12"/>
  <c r="W67" i="12"/>
  <c r="X67" i="12" s="1"/>
  <c r="Z67" i="12" s="1"/>
  <c r="Q67" i="12"/>
  <c r="Y67" i="12" s="1"/>
  <c r="P67" i="12"/>
  <c r="N67" i="12"/>
  <c r="L67" i="12"/>
  <c r="K67" i="12"/>
  <c r="AJ66" i="12"/>
  <c r="W66" i="12"/>
  <c r="X66" i="12" s="1"/>
  <c r="Z66" i="12" s="1"/>
  <c r="Q66" i="12"/>
  <c r="R66" i="12" s="1"/>
  <c r="P66" i="12"/>
  <c r="N66" i="12"/>
  <c r="L66" i="12"/>
  <c r="K66" i="12"/>
  <c r="AJ65" i="12"/>
  <c r="W65" i="12"/>
  <c r="X65" i="12" s="1"/>
  <c r="Z65" i="12" s="1"/>
  <c r="Q65" i="12"/>
  <c r="Y65" i="12" s="1"/>
  <c r="P65" i="12"/>
  <c r="N65" i="12"/>
  <c r="L65" i="12"/>
  <c r="K65" i="12"/>
  <c r="AJ64" i="12"/>
  <c r="Y64" i="12"/>
  <c r="X64" i="12"/>
  <c r="Z64" i="12" s="1"/>
  <c r="W64" i="12"/>
  <c r="R64" i="12"/>
  <c r="Q64" i="12"/>
  <c r="N64" i="12"/>
  <c r="L64" i="12"/>
  <c r="K64" i="12"/>
  <c r="AJ63" i="12"/>
  <c r="X63" i="12"/>
  <c r="Z63" i="12" s="1"/>
  <c r="W63" i="12"/>
  <c r="Q63" i="12"/>
  <c r="R63" i="12" s="1"/>
  <c r="P63" i="12"/>
  <c r="N63" i="12"/>
  <c r="L63" i="12"/>
  <c r="K63" i="12"/>
  <c r="X62" i="12"/>
  <c r="Z62" i="12" s="1"/>
  <c r="W62" i="12"/>
  <c r="R62" i="12"/>
  <c r="Q62" i="12"/>
  <c r="P62" i="12"/>
  <c r="N62" i="12"/>
  <c r="L62" i="12"/>
  <c r="K62" i="12"/>
  <c r="W61" i="12"/>
  <c r="X61" i="12" s="1"/>
  <c r="Z61" i="12" s="1"/>
  <c r="R61" i="12"/>
  <c r="Q61" i="12"/>
  <c r="P61" i="12"/>
  <c r="N61" i="12"/>
  <c r="L61" i="12"/>
  <c r="K61" i="12"/>
  <c r="AJ60" i="12"/>
  <c r="W60" i="12"/>
  <c r="X60" i="12" s="1"/>
  <c r="Z60" i="12" s="1"/>
  <c r="Q60" i="12"/>
  <c r="R60" i="12" s="1"/>
  <c r="P60" i="12"/>
  <c r="N60" i="12"/>
  <c r="L60" i="12"/>
  <c r="K60" i="12"/>
  <c r="AJ59" i="12"/>
  <c r="W59" i="12"/>
  <c r="X59" i="12" s="1"/>
  <c r="Z59" i="12" s="1"/>
  <c r="Q59" i="12"/>
  <c r="R59" i="12" s="1"/>
  <c r="N59" i="12"/>
  <c r="L59" i="12"/>
  <c r="K59" i="12"/>
  <c r="K58" i="12"/>
  <c r="AJ57" i="12"/>
  <c r="W57" i="12"/>
  <c r="X57" i="12" s="1"/>
  <c r="Z57" i="12" s="1"/>
  <c r="Q57" i="12"/>
  <c r="R57" i="12" s="1"/>
  <c r="N57" i="12"/>
  <c r="L57" i="12"/>
  <c r="K57" i="12"/>
  <c r="AJ56" i="12"/>
  <c r="W56" i="12"/>
  <c r="X56" i="12" s="1"/>
  <c r="Z56" i="12" s="1"/>
  <c r="R56" i="12"/>
  <c r="Q56" i="12"/>
  <c r="N56" i="12"/>
  <c r="L56" i="12"/>
  <c r="K56" i="12"/>
  <c r="W55" i="12"/>
  <c r="X55" i="12" s="1"/>
  <c r="Z55" i="12" s="1"/>
  <c r="R55" i="12"/>
  <c r="Q55" i="12"/>
  <c r="P55" i="12"/>
  <c r="N55" i="12"/>
  <c r="L55" i="12"/>
  <c r="K55" i="12"/>
  <c r="AJ54" i="12"/>
  <c r="W54" i="12"/>
  <c r="X54" i="12" s="1"/>
  <c r="Z54" i="12" s="1"/>
  <c r="Q54" i="12"/>
  <c r="R54" i="12" s="1"/>
  <c r="N54" i="12"/>
  <c r="L54" i="12"/>
  <c r="Y54" i="12" s="1"/>
  <c r="K54" i="12"/>
  <c r="W53" i="12"/>
  <c r="X53" i="12" s="1"/>
  <c r="Z53" i="12" s="1"/>
  <c r="Q53" i="12"/>
  <c r="Y53" i="12" s="1"/>
  <c r="P53" i="12"/>
  <c r="N53" i="12"/>
  <c r="L53" i="12"/>
  <c r="K53" i="12"/>
  <c r="AJ52" i="12"/>
  <c r="W52" i="12"/>
  <c r="X52" i="12" s="1"/>
  <c r="Z52" i="12" s="1"/>
  <c r="Q52" i="12"/>
  <c r="R52" i="12" s="1"/>
  <c r="N52" i="12"/>
  <c r="L52" i="12"/>
  <c r="K52" i="12"/>
  <c r="Y51" i="12"/>
  <c r="W51" i="12"/>
  <c r="X51" i="12" s="1"/>
  <c r="Z51" i="12" s="1"/>
  <c r="Q51" i="12"/>
  <c r="R51" i="12" s="1"/>
  <c r="P51" i="12"/>
  <c r="N51" i="12"/>
  <c r="L51" i="12"/>
  <c r="K51" i="12"/>
  <c r="W50" i="12"/>
  <c r="X50" i="12" s="1"/>
  <c r="Z50" i="12" s="1"/>
  <c r="Q50" i="12"/>
  <c r="R50" i="12" s="1"/>
  <c r="N50" i="12"/>
  <c r="L50" i="12"/>
  <c r="K50" i="12"/>
  <c r="W49" i="12"/>
  <c r="X49" i="12" s="1"/>
  <c r="Z49" i="12" s="1"/>
  <c r="R49" i="12"/>
  <c r="Q49" i="12"/>
  <c r="N49" i="12"/>
  <c r="L49" i="12"/>
  <c r="K49" i="12"/>
  <c r="W48" i="12"/>
  <c r="X48" i="12" s="1"/>
  <c r="Z48" i="12" s="1"/>
  <c r="Q48" i="12"/>
  <c r="R48" i="12" s="1"/>
  <c r="N48" i="12"/>
  <c r="L48" i="12"/>
  <c r="K48" i="12"/>
  <c r="AJ47" i="12"/>
  <c r="W47" i="12"/>
  <c r="Y47" i="12" s="1"/>
  <c r="Q47" i="12"/>
  <c r="R47" i="12" s="1"/>
  <c r="N47" i="12"/>
  <c r="L47" i="12"/>
  <c r="K47" i="12"/>
  <c r="AJ46" i="12"/>
  <c r="Y46" i="12"/>
  <c r="W46" i="12"/>
  <c r="X46" i="12" s="1"/>
  <c r="Z46" i="12" s="1"/>
  <c r="Q46" i="12"/>
  <c r="R46" i="12" s="1"/>
  <c r="P46" i="12"/>
  <c r="N46" i="12"/>
  <c r="L46" i="12"/>
  <c r="K46" i="12"/>
  <c r="AJ45" i="12"/>
  <c r="Y45" i="12"/>
  <c r="W45" i="12"/>
  <c r="X45" i="12" s="1"/>
  <c r="Z45" i="12" s="1"/>
  <c r="R45" i="12"/>
  <c r="Q45" i="12"/>
  <c r="P45" i="12"/>
  <c r="N45" i="12"/>
  <c r="L45" i="12"/>
  <c r="K45" i="12"/>
  <c r="AJ44" i="12"/>
  <c r="W44" i="12"/>
  <c r="X44" i="12" s="1"/>
  <c r="Z44" i="12" s="1"/>
  <c r="Q44" i="12"/>
  <c r="Y44" i="12" s="1"/>
  <c r="N44" i="12"/>
  <c r="L44" i="12"/>
  <c r="W43" i="12"/>
  <c r="X43" i="12" s="1"/>
  <c r="Z43" i="12" s="1"/>
  <c r="R43" i="12"/>
  <c r="Q43" i="12"/>
  <c r="P43" i="12"/>
  <c r="N43" i="12"/>
  <c r="L43" i="12"/>
  <c r="Y43" i="12" s="1"/>
  <c r="K43" i="12"/>
  <c r="AJ42" i="12"/>
  <c r="W42" i="12"/>
  <c r="X42" i="12" s="1"/>
  <c r="Z42" i="12" s="1"/>
  <c r="Q42" i="12"/>
  <c r="R42" i="12" s="1"/>
  <c r="P42" i="12"/>
  <c r="N42" i="12"/>
  <c r="L42" i="12"/>
  <c r="K42" i="12"/>
  <c r="AJ41" i="12"/>
  <c r="W41" i="12"/>
  <c r="Y41" i="12" s="1"/>
  <c r="Q41" i="12"/>
  <c r="R41" i="12" s="1"/>
  <c r="N41" i="12"/>
  <c r="L41" i="12"/>
  <c r="K41" i="12"/>
  <c r="W40" i="12"/>
  <c r="X40" i="12" s="1"/>
  <c r="Z40" i="12" s="1"/>
  <c r="Q40" i="12"/>
  <c r="P40" i="12"/>
  <c r="N40" i="12"/>
  <c r="L40" i="12"/>
  <c r="K40" i="12"/>
  <c r="W39" i="12"/>
  <c r="X39" i="12" s="1"/>
  <c r="Z39" i="12" s="1"/>
  <c r="Q39" i="12"/>
  <c r="R39" i="12" s="1"/>
  <c r="P39" i="12"/>
  <c r="N39" i="12"/>
  <c r="L39" i="12"/>
  <c r="K39" i="12"/>
  <c r="X38" i="12"/>
  <c r="Z38" i="12" s="1"/>
  <c r="W38" i="12"/>
  <c r="Q38" i="12"/>
  <c r="R38" i="12" s="1"/>
  <c r="N38" i="12"/>
  <c r="L38" i="12"/>
  <c r="K38" i="12"/>
  <c r="AJ37" i="12"/>
  <c r="Y37" i="12"/>
  <c r="W37" i="12"/>
  <c r="X37" i="12" s="1"/>
  <c r="Z37" i="12" s="1"/>
  <c r="R37" i="12"/>
  <c r="Q37" i="12"/>
  <c r="P37" i="12"/>
  <c r="N37" i="12"/>
  <c r="L37" i="12"/>
  <c r="K37" i="12"/>
  <c r="Q36" i="12"/>
  <c r="R36" i="12" s="1"/>
  <c r="P36" i="12"/>
  <c r="N36" i="12"/>
  <c r="L36" i="12"/>
  <c r="K36" i="12"/>
  <c r="AJ35" i="12"/>
  <c r="W35" i="12"/>
  <c r="X35" i="12" s="1"/>
  <c r="Z35" i="12" s="1"/>
  <c r="Q35" i="12"/>
  <c r="P35" i="12"/>
  <c r="N35" i="12"/>
  <c r="L35" i="12"/>
  <c r="K35" i="12"/>
  <c r="AJ34" i="12"/>
  <c r="W34" i="12"/>
  <c r="X34" i="12" s="1"/>
  <c r="Z34" i="12" s="1"/>
  <c r="Q34" i="12"/>
  <c r="Y34" i="12" s="1"/>
  <c r="P34" i="12"/>
  <c r="N34" i="12"/>
  <c r="L34" i="12"/>
  <c r="K34" i="12"/>
  <c r="AJ33" i="12"/>
  <c r="W33" i="12"/>
  <c r="X33" i="12" s="1"/>
  <c r="Z33" i="12" s="1"/>
  <c r="Q33" i="12"/>
  <c r="R33" i="12" s="1"/>
  <c r="N33" i="12"/>
  <c r="L33" i="12"/>
  <c r="K33" i="12"/>
  <c r="AJ32" i="12"/>
  <c r="W32" i="12"/>
  <c r="X32" i="12" s="1"/>
  <c r="Z32" i="12" s="1"/>
  <c r="Q32" i="12"/>
  <c r="R32" i="12" s="1"/>
  <c r="N32" i="12"/>
  <c r="L32" i="12"/>
  <c r="Y32" i="12" s="1"/>
  <c r="K32" i="12"/>
  <c r="AJ31" i="12"/>
  <c r="X31" i="12"/>
  <c r="Z31" i="12" s="1"/>
  <c r="W31" i="12"/>
  <c r="Q31" i="12"/>
  <c r="Y31" i="12" s="1"/>
  <c r="N31" i="12"/>
  <c r="L31" i="12"/>
  <c r="K31" i="12"/>
  <c r="AJ30" i="12"/>
  <c r="X30" i="12"/>
  <c r="Z30" i="12" s="1"/>
  <c r="W30" i="12"/>
  <c r="Q30" i="12"/>
  <c r="R30" i="12" s="1"/>
  <c r="N30" i="12"/>
  <c r="L30" i="12"/>
  <c r="K30" i="12"/>
  <c r="AJ29" i="12"/>
  <c r="W29" i="12"/>
  <c r="X29" i="12" s="1"/>
  <c r="Z29" i="12" s="1"/>
  <c r="Q29" i="12"/>
  <c r="R29" i="12" s="1"/>
  <c r="P29" i="12"/>
  <c r="N29" i="12"/>
  <c r="L29" i="12"/>
  <c r="K29" i="12"/>
  <c r="Q28" i="12"/>
  <c r="R28" i="12" s="1"/>
  <c r="P28" i="12"/>
  <c r="K28" i="12"/>
  <c r="AJ27" i="12"/>
  <c r="W27" i="12"/>
  <c r="X27" i="12" s="1"/>
  <c r="Z27" i="12" s="1"/>
  <c r="Q27" i="12"/>
  <c r="R27" i="12" s="1"/>
  <c r="P27" i="12"/>
  <c r="N27" i="12"/>
  <c r="L27" i="12"/>
  <c r="K27" i="12"/>
  <c r="W26" i="12"/>
  <c r="X26" i="12" s="1"/>
  <c r="Z26" i="12" s="1"/>
  <c r="R26" i="12"/>
  <c r="Q26" i="12"/>
  <c r="N26" i="12"/>
  <c r="L26" i="12"/>
  <c r="K26" i="12"/>
  <c r="AJ25" i="12"/>
  <c r="X25" i="12"/>
  <c r="Z25" i="12" s="1"/>
  <c r="W25" i="12"/>
  <c r="Q25" i="12"/>
  <c r="N25" i="12"/>
  <c r="L25" i="12"/>
  <c r="K25" i="12"/>
  <c r="AJ24" i="12"/>
  <c r="W24" i="12"/>
  <c r="X24" i="12" s="1"/>
  <c r="Z24" i="12" s="1"/>
  <c r="Q24" i="12"/>
  <c r="R24" i="12" s="1"/>
  <c r="N24" i="12"/>
  <c r="L24" i="12"/>
  <c r="Y24" i="12" s="1"/>
  <c r="K24" i="12"/>
  <c r="Q23" i="12"/>
  <c r="R23" i="12" s="1"/>
  <c r="P23" i="12"/>
  <c r="K23" i="12"/>
  <c r="AJ22" i="12"/>
  <c r="X22" i="12"/>
  <c r="Z22" i="12" s="1"/>
  <c r="W22" i="12"/>
  <c r="Q22" i="12"/>
  <c r="R22" i="12" s="1"/>
  <c r="N22" i="12"/>
  <c r="L22" i="12"/>
  <c r="Y22" i="12" s="1"/>
  <c r="K22" i="12"/>
  <c r="W21" i="12"/>
  <c r="Q21" i="12"/>
  <c r="R21" i="12" s="1"/>
  <c r="N21" i="12"/>
  <c r="L21" i="12"/>
  <c r="L87" i="12" s="1"/>
  <c r="K21" i="12"/>
  <c r="Q20" i="12"/>
  <c r="K20" i="12"/>
  <c r="Q19" i="12"/>
  <c r="Q18" i="12"/>
  <c r="K18" i="12"/>
  <c r="AJ17" i="12"/>
  <c r="W17" i="12"/>
  <c r="X17" i="12" s="1"/>
  <c r="Z17" i="12" s="1"/>
  <c r="Q17" i="12"/>
  <c r="Y17" i="12" s="1"/>
  <c r="N17" i="12"/>
  <c r="L17" i="12"/>
  <c r="K17" i="12"/>
  <c r="H17" i="12"/>
  <c r="AJ16" i="12"/>
  <c r="X16" i="12"/>
  <c r="Z16" i="12" s="1"/>
  <c r="W16" i="12"/>
  <c r="R16" i="12"/>
  <c r="Q16" i="12"/>
  <c r="N16" i="12"/>
  <c r="L16" i="12"/>
  <c r="Y16" i="12" s="1"/>
  <c r="K16" i="12"/>
  <c r="AJ15" i="12"/>
  <c r="W15" i="12"/>
  <c r="X15" i="12" s="1"/>
  <c r="Z15" i="12" s="1"/>
  <c r="Q15" i="12"/>
  <c r="R15" i="12" s="1"/>
  <c r="P15" i="12"/>
  <c r="N15" i="12"/>
  <c r="L15" i="12"/>
  <c r="K15" i="12"/>
  <c r="X14" i="12"/>
  <c r="Z14" i="12" s="1"/>
  <c r="W14" i="12"/>
  <c r="Q14" i="12"/>
  <c r="Y14" i="12" s="1"/>
  <c r="N14" i="12"/>
  <c r="L14" i="12"/>
  <c r="X13" i="12"/>
  <c r="AJ13" i="12" s="1"/>
  <c r="W13" i="12"/>
  <c r="R13" i="12"/>
  <c r="Q13" i="12"/>
  <c r="Y13" i="12" s="1"/>
  <c r="P13" i="12"/>
  <c r="N13" i="12"/>
  <c r="L13" i="12"/>
  <c r="K13" i="12"/>
  <c r="X12" i="12"/>
  <c r="Z12" i="12" s="1"/>
  <c r="W12" i="12"/>
  <c r="Q12" i="12"/>
  <c r="R12" i="12" s="1"/>
  <c r="N12" i="12"/>
  <c r="L12" i="12"/>
  <c r="K12" i="12"/>
  <c r="W11" i="12"/>
  <c r="X11" i="12" s="1"/>
  <c r="R11" i="12"/>
  <c r="Q11" i="12"/>
  <c r="P11" i="12"/>
  <c r="N11" i="12"/>
  <c r="L11" i="12"/>
  <c r="K11" i="12"/>
  <c r="W10" i="12"/>
  <c r="X10" i="12" s="1"/>
  <c r="Q10" i="12"/>
  <c r="Y10" i="12" s="1"/>
  <c r="P10" i="12"/>
  <c r="N10" i="12"/>
  <c r="L10" i="12"/>
  <c r="K10" i="12"/>
  <c r="Z9" i="12"/>
  <c r="X9" i="12"/>
  <c r="W9" i="12"/>
  <c r="Q9" i="12"/>
  <c r="R9" i="12" s="1"/>
  <c r="N9" i="12"/>
  <c r="L9" i="12"/>
  <c r="K9" i="12"/>
  <c r="K8" i="12"/>
  <c r="W7" i="12"/>
  <c r="X7" i="12" s="1"/>
  <c r="Q7" i="12"/>
  <c r="N7" i="12"/>
  <c r="L7" i="12"/>
  <c r="K7" i="12"/>
  <c r="Q6" i="12"/>
  <c r="K6" i="12"/>
  <c r="W5" i="12"/>
  <c r="R5" i="12"/>
  <c r="Q5" i="12"/>
  <c r="N5" i="12"/>
  <c r="L5" i="12"/>
  <c r="Y5" i="12" s="1"/>
  <c r="K5" i="12"/>
  <c r="Y26" i="12" l="1"/>
  <c r="Y29" i="12"/>
  <c r="X47" i="12"/>
  <c r="Z47" i="12" s="1"/>
  <c r="Y52" i="12"/>
  <c r="Y7" i="12"/>
  <c r="Y86" i="12" s="1"/>
  <c r="Y35" i="12"/>
  <c r="Y42" i="12"/>
  <c r="R44" i="12"/>
  <c r="Y50" i="12"/>
  <c r="Y63" i="12"/>
  <c r="R65" i="12"/>
  <c r="Y76" i="12"/>
  <c r="Q86" i="12"/>
  <c r="R10" i="12"/>
  <c r="AJ10" i="12" s="1"/>
  <c r="R31" i="12"/>
  <c r="Y62" i="12"/>
  <c r="Y48" i="12"/>
  <c r="Y57" i="12"/>
  <c r="Y60" i="12"/>
  <c r="Y55" i="12"/>
  <c r="W86" i="12"/>
  <c r="X5" i="12"/>
  <c r="AJ5" i="12" s="1"/>
  <c r="Y11" i="12"/>
  <c r="Y12" i="12"/>
  <c r="Y27" i="12"/>
  <c r="Y15" i="12"/>
  <c r="W87" i="12"/>
  <c r="Y40" i="12"/>
  <c r="Y70" i="12"/>
  <c r="Y75" i="12"/>
  <c r="Y73" i="12"/>
  <c r="Y25" i="12"/>
  <c r="Y38" i="12"/>
  <c r="AJ9" i="12"/>
  <c r="Y49" i="12"/>
  <c r="Y9" i="12"/>
  <c r="Y59" i="12"/>
  <c r="Y61" i="12"/>
  <c r="Y66" i="12"/>
  <c r="R89" i="12"/>
  <c r="Y30" i="12"/>
  <c r="Y39" i="12"/>
  <c r="Y56" i="12"/>
  <c r="P86" i="12"/>
  <c r="AJ11" i="12"/>
  <c r="Z11" i="12"/>
  <c r="AJ7" i="12"/>
  <c r="Z7" i="12"/>
  <c r="AJ12" i="12"/>
  <c r="Y33" i="12"/>
  <c r="Y69" i="12"/>
  <c r="K83" i="12"/>
  <c r="K86" i="12" s="1"/>
  <c r="Q87" i="12"/>
  <c r="R14" i="12"/>
  <c r="AJ14" i="12" s="1"/>
  <c r="R17" i="12"/>
  <c r="R25" i="12"/>
  <c r="R40" i="12"/>
  <c r="R71" i="12"/>
  <c r="R7" i="12"/>
  <c r="X21" i="12"/>
  <c r="Z21" i="12" s="1"/>
  <c r="Z87" i="12" s="1"/>
  <c r="R35" i="12"/>
  <c r="R53" i="12"/>
  <c r="R74" i="12"/>
  <c r="R83" i="12"/>
  <c r="Y21" i="12"/>
  <c r="Y87" i="12" s="1"/>
  <c r="L86" i="12"/>
  <c r="R34" i="12"/>
  <c r="R70" i="12"/>
  <c r="X76" i="12"/>
  <c r="Z76" i="12" s="1"/>
  <c r="L89" i="12"/>
  <c r="R67" i="12"/>
  <c r="Z5" i="12"/>
  <c r="Z10" i="12"/>
  <c r="Z13" i="12"/>
  <c r="X41" i="12"/>
  <c r="Z41" i="12" s="1"/>
  <c r="R86" i="12" l="1"/>
  <c r="R87" i="12"/>
  <c r="Z86" i="12"/>
  <c r="Q89" i="12"/>
  <c r="Q90" i="12" s="1"/>
  <c r="R90" i="12"/>
  <c r="L10" i="4" l="1"/>
  <c r="Q27" i="2" l="1"/>
  <c r="BX48" i="11"/>
  <c r="AX23" i="11"/>
  <c r="AY23" i="11" s="1"/>
  <c r="AW39" i="11"/>
  <c r="AX39" i="11" s="1"/>
  <c r="AY39" i="11" s="1"/>
  <c r="AY34" i="11"/>
  <c r="AZ31" i="11"/>
  <c r="AZ48" i="11" s="1"/>
  <c r="BA31" i="11"/>
  <c r="BA48" i="11" s="1"/>
  <c r="BB31" i="11"/>
  <c r="BB48" i="11" s="1"/>
  <c r="BC31" i="11"/>
  <c r="BC48" i="11" s="1"/>
  <c r="BD31" i="11"/>
  <c r="BD48" i="11" s="1"/>
  <c r="BE31" i="11"/>
  <c r="BE48" i="11" s="1"/>
  <c r="BF31" i="11"/>
  <c r="BF48" i="11" s="1"/>
  <c r="BG31" i="11"/>
  <c r="BG48" i="11" s="1"/>
  <c r="BH31" i="11"/>
  <c r="BH48" i="11" s="1"/>
  <c r="BI31" i="11"/>
  <c r="BI48" i="11" s="1"/>
  <c r="BJ31" i="11"/>
  <c r="BJ48" i="11" s="1"/>
  <c r="BK31" i="11"/>
  <c r="BK48" i="11" s="1"/>
  <c r="BL31" i="11"/>
  <c r="BL48" i="11" s="1"/>
  <c r="BM31" i="11"/>
  <c r="BM48" i="11" s="1"/>
  <c r="BN31" i="11"/>
  <c r="BN48" i="11" s="1"/>
  <c r="BO31" i="11"/>
  <c r="BO48" i="11" s="1"/>
  <c r="BP31" i="11"/>
  <c r="BP48" i="11" s="1"/>
  <c r="BQ31" i="11"/>
  <c r="BQ48" i="11" s="1"/>
  <c r="BR31" i="11"/>
  <c r="BR48" i="11" s="1"/>
  <c r="BS31" i="11"/>
  <c r="BS48" i="11" s="1"/>
  <c r="BT31" i="11"/>
  <c r="BT48" i="11" s="1"/>
  <c r="BU31" i="11"/>
  <c r="BU48" i="11" s="1"/>
  <c r="BV31" i="11"/>
  <c r="BV48" i="11" s="1"/>
  <c r="BW31" i="11"/>
  <c r="BW48" i="11" s="1"/>
  <c r="BX31" i="11"/>
  <c r="BY31" i="11"/>
  <c r="BY48" i="11" s="1"/>
  <c r="BZ31" i="11"/>
  <c r="BZ48" i="11" s="1"/>
  <c r="CA31" i="11"/>
  <c r="CA48" i="11" s="1"/>
  <c r="AW23" i="11"/>
  <c r="AY10" i="11"/>
  <c r="AY9" i="11"/>
  <c r="AY8" i="11"/>
  <c r="AX7" i="11"/>
  <c r="AY7" i="11" s="1"/>
  <c r="AU31" i="11"/>
  <c r="AU50" i="11" s="1"/>
  <c r="AU46" i="11"/>
  <c r="AW5" i="11"/>
  <c r="AW7" i="11"/>
  <c r="AW8" i="11"/>
  <c r="AW11" i="11"/>
  <c r="AW21" i="11"/>
  <c r="AW22" i="11"/>
  <c r="AW25" i="11"/>
  <c r="AX25" i="11" s="1"/>
  <c r="AY25" i="11" s="1"/>
  <c r="AW26" i="11"/>
  <c r="AW27" i="11"/>
  <c r="AW28" i="11"/>
  <c r="AW30" i="11"/>
  <c r="AW41" i="11"/>
  <c r="AV43" i="11"/>
  <c r="AV44" i="11"/>
  <c r="AV36" i="11"/>
  <c r="AV35" i="11"/>
  <c r="AV26" i="11"/>
  <c r="AV28" i="11"/>
  <c r="AV29" i="11"/>
  <c r="AW29" i="11" s="1"/>
  <c r="AX29" i="11" s="1"/>
  <c r="AY29" i="11" s="1"/>
  <c r="AV24" i="11"/>
  <c r="AV25" i="11"/>
  <c r="AV23" i="11"/>
  <c r="AV5" i="11"/>
  <c r="AX5" i="11" s="1"/>
  <c r="AY5" i="11" s="1"/>
  <c r="AV6" i="11"/>
  <c r="AV7" i="11"/>
  <c r="AV8" i="11"/>
  <c r="AV9" i="11"/>
  <c r="AV10" i="11"/>
  <c r="AV11" i="11"/>
  <c r="Q9" i="5"/>
  <c r="J7" i="5"/>
  <c r="AE56" i="11"/>
  <c r="AE53" i="11"/>
  <c r="W52" i="11"/>
  <c r="O52" i="11"/>
  <c r="N52" i="11"/>
  <c r="S52" i="11" s="1"/>
  <c r="W51" i="11"/>
  <c r="S51" i="11"/>
  <c r="AC50" i="11"/>
  <c r="W50" i="11"/>
  <c r="S50" i="11"/>
  <c r="AN49" i="11"/>
  <c r="AF49" i="11"/>
  <c r="W48" i="11"/>
  <c r="AN47" i="11"/>
  <c r="AF47" i="11"/>
  <c r="AJ46" i="11"/>
  <c r="AJ51" i="11" s="1"/>
  <c r="AE46" i="11"/>
  <c r="AE51" i="11" s="1"/>
  <c r="AC46" i="11"/>
  <c r="AC48" i="11" s="1"/>
  <c r="W46" i="11"/>
  <c r="N46" i="11"/>
  <c r="S46" i="11" s="1"/>
  <c r="J46" i="11"/>
  <c r="J51" i="11" s="1"/>
  <c r="H46" i="11"/>
  <c r="G46" i="11"/>
  <c r="G51" i="11" s="1"/>
  <c r="E46" i="11"/>
  <c r="D46" i="11"/>
  <c r="C46" i="11"/>
  <c r="AQ45" i="11"/>
  <c r="AN45" i="11"/>
  <c r="AF45" i="11"/>
  <c r="W45" i="11"/>
  <c r="V45" i="11"/>
  <c r="T45" i="11"/>
  <c r="T44" i="11" s="1"/>
  <c r="B45" i="11"/>
  <c r="AT44" i="11"/>
  <c r="AO44" i="11"/>
  <c r="AS44" i="11" s="1"/>
  <c r="AH44" i="11"/>
  <c r="AN44" i="11" s="1"/>
  <c r="AM44" i="11" s="1"/>
  <c r="AD44" i="11"/>
  <c r="AF44" i="11" s="1"/>
  <c r="W44" i="11"/>
  <c r="Y44" i="11" s="1"/>
  <c r="V44" i="11"/>
  <c r="S44" i="11"/>
  <c r="P44" i="11"/>
  <c r="O44" i="11"/>
  <c r="I44" i="11"/>
  <c r="F44" i="11"/>
  <c r="AQ43" i="11"/>
  <c r="AN43" i="11"/>
  <c r="AF43" i="11"/>
  <c r="AA43" i="11"/>
  <c r="Y43" i="11"/>
  <c r="AB43" i="11" s="1"/>
  <c r="W43" i="11"/>
  <c r="S43" i="11"/>
  <c r="Q43" i="11"/>
  <c r="O43" i="11"/>
  <c r="V43" i="11" s="1"/>
  <c r="M43" i="11"/>
  <c r="I43" i="11"/>
  <c r="F43" i="11"/>
  <c r="AN42" i="11"/>
  <c r="AF42" i="11"/>
  <c r="AA42" i="11"/>
  <c r="Y42" i="11"/>
  <c r="AB42" i="11" s="1"/>
  <c r="W42" i="11"/>
  <c r="S42" i="11"/>
  <c r="Q42" i="11"/>
  <c r="O42" i="11"/>
  <c r="V42" i="11" s="1"/>
  <c r="M42" i="11"/>
  <c r="I42" i="11"/>
  <c r="F42" i="11"/>
  <c r="AO41" i="11"/>
  <c r="AR41" i="11" s="1"/>
  <c r="AS41" i="11" s="1"/>
  <c r="AN41" i="11"/>
  <c r="AF41" i="11"/>
  <c r="AQ40" i="11"/>
  <c r="AN40" i="11"/>
  <c r="AF40" i="11"/>
  <c r="Z40" i="11"/>
  <c r="AA40" i="11" s="1"/>
  <c r="Y40" i="11"/>
  <c r="W40" i="11"/>
  <c r="S40" i="11"/>
  <c r="Q40" i="11"/>
  <c r="O40" i="11"/>
  <c r="V40" i="11" s="1"/>
  <c r="M40" i="11"/>
  <c r="I40" i="11"/>
  <c r="F40" i="11"/>
  <c r="AR39" i="11"/>
  <c r="AS39" i="11" s="1"/>
  <c r="AQ39" i="11"/>
  <c r="AL39" i="11"/>
  <c r="AF39" i="11"/>
  <c r="AB39" i="11"/>
  <c r="AA39" i="11"/>
  <c r="W39" i="11"/>
  <c r="S39" i="11"/>
  <c r="P39" i="11"/>
  <c r="Q39" i="11" s="1"/>
  <c r="O39" i="11"/>
  <c r="V39" i="11" s="1"/>
  <c r="M39" i="11"/>
  <c r="I39" i="11"/>
  <c r="F39" i="11"/>
  <c r="AR38" i="11"/>
  <c r="AS38" i="11" s="1"/>
  <c r="AQ38" i="11"/>
  <c r="AH38" i="11"/>
  <c r="AN38" i="11" s="1"/>
  <c r="AM38" i="11" s="1"/>
  <c r="AG38" i="11"/>
  <c r="AD38" i="11"/>
  <c r="AF38" i="11" s="1"/>
  <c r="AB38" i="11"/>
  <c r="AA38" i="11"/>
  <c r="W38" i="11"/>
  <c r="S38" i="11"/>
  <c r="P38" i="11"/>
  <c r="Q38" i="11" s="1"/>
  <c r="O38" i="11"/>
  <c r="V38" i="11" s="1"/>
  <c r="M38" i="11"/>
  <c r="I38" i="11"/>
  <c r="F38" i="11"/>
  <c r="AR37" i="11"/>
  <c r="AS37" i="11" s="1"/>
  <c r="AQ37" i="11"/>
  <c r="AN37" i="11"/>
  <c r="AF37" i="11"/>
  <c r="AB37" i="11"/>
  <c r="AA37" i="11"/>
  <c r="W37" i="11"/>
  <c r="U37" i="11"/>
  <c r="S37" i="11"/>
  <c r="P37" i="11"/>
  <c r="Q37" i="11" s="1"/>
  <c r="O37" i="11"/>
  <c r="M37" i="11"/>
  <c r="I37" i="11"/>
  <c r="F37" i="11"/>
  <c r="AQ36" i="11"/>
  <c r="AN36" i="11"/>
  <c r="AF36" i="11"/>
  <c r="AA36" i="11"/>
  <c r="Y36" i="11"/>
  <c r="AB36" i="11" s="1"/>
  <c r="W36" i="11"/>
  <c r="S36" i="11"/>
  <c r="Q36" i="11"/>
  <c r="O36" i="11"/>
  <c r="V36" i="11" s="1"/>
  <c r="M36" i="11"/>
  <c r="I36" i="11"/>
  <c r="F36" i="11"/>
  <c r="AX35" i="11"/>
  <c r="AY35" i="11" s="1"/>
  <c r="AR35" i="11"/>
  <c r="AS35" i="11" s="1"/>
  <c r="AQ35" i="11"/>
  <c r="AD35" i="11"/>
  <c r="AF35" i="11" s="1"/>
  <c r="AB35" i="11"/>
  <c r="AA35" i="11"/>
  <c r="W35" i="11"/>
  <c r="S35" i="11"/>
  <c r="Q35" i="11"/>
  <c r="O35" i="11"/>
  <c r="R35" i="11" s="1"/>
  <c r="M35" i="11"/>
  <c r="I35" i="11"/>
  <c r="F35" i="11"/>
  <c r="AP34" i="11"/>
  <c r="AP46" i="11" s="1"/>
  <c r="AO34" i="11"/>
  <c r="AR34" i="11" s="1"/>
  <c r="AH34" i="11"/>
  <c r="AD34" i="11"/>
  <c r="Z34" i="11"/>
  <c r="W34" i="11"/>
  <c r="U34" i="11"/>
  <c r="T34" i="11"/>
  <c r="S34" i="11"/>
  <c r="Q34" i="11"/>
  <c r="O34" i="11"/>
  <c r="R34" i="11" s="1"/>
  <c r="M34" i="11"/>
  <c r="I34" i="11"/>
  <c r="F34" i="11"/>
  <c r="AF33" i="11"/>
  <c r="S32" i="11"/>
  <c r="Q32" i="11"/>
  <c r="O32" i="11"/>
  <c r="V32" i="11" s="1"/>
  <c r="M32" i="11"/>
  <c r="AE31" i="11"/>
  <c r="AE50" i="11" s="1"/>
  <c r="W31" i="11"/>
  <c r="V31" i="11"/>
  <c r="V50" i="11" s="1"/>
  <c r="U31" i="11"/>
  <c r="U50" i="11" s="1"/>
  <c r="N31" i="11"/>
  <c r="S31" i="11" s="1"/>
  <c r="J31" i="11"/>
  <c r="J50" i="11" s="1"/>
  <c r="H31" i="11"/>
  <c r="G31" i="11"/>
  <c r="E31" i="11"/>
  <c r="E50" i="11" s="1"/>
  <c r="D31" i="11"/>
  <c r="D50" i="11" s="1"/>
  <c r="C31" i="11"/>
  <c r="C50" i="11" s="1"/>
  <c r="AS30" i="11"/>
  <c r="AQ30" i="11"/>
  <c r="AN30" i="11"/>
  <c r="AI30" i="11"/>
  <c r="AF30" i="11"/>
  <c r="Z30" i="11"/>
  <c r="AA30" i="11" s="1"/>
  <c r="W30" i="11"/>
  <c r="Y30" i="11" s="1"/>
  <c r="S30" i="11"/>
  <c r="Q30" i="11"/>
  <c r="O30" i="11"/>
  <c r="M30" i="11"/>
  <c r="I30" i="11"/>
  <c r="F30" i="11"/>
  <c r="AS29" i="11"/>
  <c r="AP29" i="11"/>
  <c r="AP31" i="11" s="1"/>
  <c r="AP50" i="11" s="1"/>
  <c r="AO29" i="11"/>
  <c r="AG29" i="11"/>
  <c r="AF29" i="11"/>
  <c r="Z29" i="11"/>
  <c r="W29" i="11"/>
  <c r="Y29" i="11" s="1"/>
  <c r="S29" i="11"/>
  <c r="Q29" i="11"/>
  <c r="O29" i="11"/>
  <c r="M29" i="11"/>
  <c r="I29" i="11"/>
  <c r="F29" i="11"/>
  <c r="AO28" i="11"/>
  <c r="AQ28" i="11" s="1"/>
  <c r="AN28" i="11"/>
  <c r="AI28" i="11"/>
  <c r="AF28" i="11"/>
  <c r="AA28" i="11"/>
  <c r="W28" i="11"/>
  <c r="Y28" i="11" s="1"/>
  <c r="AB28" i="11" s="1"/>
  <c r="S28" i="11"/>
  <c r="Q28" i="11"/>
  <c r="O28" i="11"/>
  <c r="AS27" i="11"/>
  <c r="AO27" i="11"/>
  <c r="AQ27" i="11" s="1"/>
  <c r="Z27" i="11"/>
  <c r="AA27" i="11" s="1"/>
  <c r="W27" i="11"/>
  <c r="Y27" i="11" s="1"/>
  <c r="S27" i="11"/>
  <c r="P27" i="11"/>
  <c r="Q27" i="11" s="1"/>
  <c r="O27" i="11"/>
  <c r="M27" i="11"/>
  <c r="I27" i="11"/>
  <c r="F27" i="11"/>
  <c r="AO26" i="11"/>
  <c r="AR26" i="11" s="1"/>
  <c r="AS26" i="11" s="1"/>
  <c r="AN26" i="11"/>
  <c r="AI26" i="11"/>
  <c r="AF26" i="11"/>
  <c r="AA26" i="11"/>
  <c r="W26" i="11"/>
  <c r="Y26" i="11" s="1"/>
  <c r="AB26" i="11" s="1"/>
  <c r="S26" i="11"/>
  <c r="Q26" i="11"/>
  <c r="O26" i="11"/>
  <c r="M26" i="11"/>
  <c r="I26" i="11"/>
  <c r="F26" i="11"/>
  <c r="AO25" i="11"/>
  <c r="AQ25" i="11" s="1"/>
  <c r="AN25" i="11"/>
  <c r="AI25" i="11"/>
  <c r="AF25" i="11"/>
  <c r="Z25" i="11"/>
  <c r="AA25" i="11" s="1"/>
  <c r="W25" i="11"/>
  <c r="Y25" i="11" s="1"/>
  <c r="S25" i="11"/>
  <c r="P25" i="11"/>
  <c r="Q25" i="11" s="1"/>
  <c r="O25" i="11"/>
  <c r="M25" i="11"/>
  <c r="I25" i="11"/>
  <c r="F25" i="11"/>
  <c r="AT24" i="11"/>
  <c r="AW24" i="11" s="1"/>
  <c r="AO24" i="11"/>
  <c r="AR24" i="11" s="1"/>
  <c r="AS24" i="11" s="1"/>
  <c r="AH24" i="11"/>
  <c r="AH39" i="11" s="1"/>
  <c r="AN39" i="11" s="1"/>
  <c r="AM39" i="11" s="1"/>
  <c r="AF24" i="11"/>
  <c r="Z24" i="11"/>
  <c r="AA24" i="11" s="1"/>
  <c r="W24" i="11"/>
  <c r="Y24" i="11" s="1"/>
  <c r="S24" i="11"/>
  <c r="P24" i="11"/>
  <c r="O24" i="11"/>
  <c r="M24" i="11"/>
  <c r="I24" i="11"/>
  <c r="F24" i="11"/>
  <c r="AO23" i="11"/>
  <c r="AQ23" i="11" s="1"/>
  <c r="AH23" i="11"/>
  <c r="Z23" i="11"/>
  <c r="W23" i="11"/>
  <c r="Y23" i="11" s="1"/>
  <c r="S23" i="11"/>
  <c r="P23" i="11"/>
  <c r="Q23" i="11" s="1"/>
  <c r="O23" i="11"/>
  <c r="M23" i="11"/>
  <c r="I23" i="11"/>
  <c r="F23" i="11"/>
  <c r="AR22" i="11"/>
  <c r="AS22" i="11" s="1"/>
  <c r="AQ22" i="11"/>
  <c r="AN22" i="11"/>
  <c r="AI22" i="11"/>
  <c r="AG22" i="11"/>
  <c r="AF22" i="11"/>
  <c r="AA22" i="11"/>
  <c r="W22" i="11"/>
  <c r="Y22" i="11" s="1"/>
  <c r="AB22" i="11" s="1"/>
  <c r="S22" i="11"/>
  <c r="Q22" i="11"/>
  <c r="O22" i="11"/>
  <c r="M22" i="11"/>
  <c r="I22" i="11"/>
  <c r="F22" i="11"/>
  <c r="AO21" i="11"/>
  <c r="AQ21" i="11" s="1"/>
  <c r="AN21" i="11"/>
  <c r="AM21" i="11" s="1"/>
  <c r="AL21" i="11"/>
  <c r="AI21" i="11"/>
  <c r="AG21" i="11"/>
  <c r="AF21" i="11"/>
  <c r="Z21" i="11"/>
  <c r="W21" i="11"/>
  <c r="Y21" i="11" s="1"/>
  <c r="S21" i="11"/>
  <c r="P21" i="11"/>
  <c r="Q21" i="11" s="1"/>
  <c r="O21" i="11"/>
  <c r="M21" i="11"/>
  <c r="I21" i="11"/>
  <c r="F21" i="11"/>
  <c r="AO20" i="11"/>
  <c r="AR20" i="11" s="1"/>
  <c r="AS20" i="11" s="1"/>
  <c r="AN20" i="11"/>
  <c r="AI20" i="11"/>
  <c r="AG20" i="11"/>
  <c r="AF20" i="11"/>
  <c r="AA20" i="11"/>
  <c r="W20" i="11"/>
  <c r="Y20" i="11" s="1"/>
  <c r="AB20" i="11" s="1"/>
  <c r="S20" i="11"/>
  <c r="P20" i="11"/>
  <c r="Q20" i="11" s="1"/>
  <c r="O20" i="11"/>
  <c r="M20" i="11"/>
  <c r="I20" i="11"/>
  <c r="F20" i="11"/>
  <c r="AO19" i="11"/>
  <c r="AR19" i="11" s="1"/>
  <c r="AS19" i="11" s="1"/>
  <c r="AH19" i="11"/>
  <c r="AN19" i="11" s="1"/>
  <c r="AM19" i="11" s="1"/>
  <c r="AG19" i="11"/>
  <c r="AF19" i="11"/>
  <c r="Z19" i="11"/>
  <c r="AA19" i="11" s="1"/>
  <c r="W19" i="11"/>
  <c r="Y19" i="11" s="1"/>
  <c r="S19" i="11"/>
  <c r="P19" i="11"/>
  <c r="Q19" i="11" s="1"/>
  <c r="O19" i="11"/>
  <c r="M19" i="11"/>
  <c r="I19" i="11"/>
  <c r="F19" i="11"/>
  <c r="AO18" i="11"/>
  <c r="AR18" i="11" s="1"/>
  <c r="AS18" i="11" s="1"/>
  <c r="AN18" i="11"/>
  <c r="AI18" i="11"/>
  <c r="AG18" i="11"/>
  <c r="AF18" i="11"/>
  <c r="Z18" i="11"/>
  <c r="AA18" i="11" s="1"/>
  <c r="W18" i="11"/>
  <c r="Y18" i="11" s="1"/>
  <c r="S18" i="11"/>
  <c r="P18" i="11"/>
  <c r="Q18" i="11" s="1"/>
  <c r="O18" i="11"/>
  <c r="M18" i="11"/>
  <c r="I18" i="11"/>
  <c r="F18" i="11"/>
  <c r="AR17" i="11"/>
  <c r="AS17" i="11" s="1"/>
  <c r="AQ17" i="11"/>
  <c r="AN17" i="11"/>
  <c r="AM17" i="11" s="1"/>
  <c r="AI17" i="11"/>
  <c r="AG17" i="11"/>
  <c r="AF17" i="11"/>
  <c r="Z17" i="11"/>
  <c r="AC17" i="11" s="1"/>
  <c r="W17" i="11"/>
  <c r="S17" i="11"/>
  <c r="P17" i="11"/>
  <c r="Q17" i="11" s="1"/>
  <c r="O17" i="11"/>
  <c r="M17" i="11"/>
  <c r="I17" i="11"/>
  <c r="F17" i="11"/>
  <c r="AR15" i="11"/>
  <c r="AS15" i="11" s="1"/>
  <c r="AQ15" i="11"/>
  <c r="AN15" i="11"/>
  <c r="AI15" i="11"/>
  <c r="AG15" i="11"/>
  <c r="AF15" i="11"/>
  <c r="Z15" i="11"/>
  <c r="AC15" i="11" s="1"/>
  <c r="W15" i="11"/>
  <c r="S15" i="11"/>
  <c r="P15" i="11"/>
  <c r="O15" i="11"/>
  <c r="M15" i="11"/>
  <c r="I15" i="11"/>
  <c r="F15" i="11"/>
  <c r="AO14" i="11"/>
  <c r="AR14" i="11" s="1"/>
  <c r="AS14" i="11" s="1"/>
  <c r="AN14" i="11"/>
  <c r="AI14" i="11"/>
  <c r="AF14" i="11"/>
  <c r="AB14" i="11"/>
  <c r="S14" i="11"/>
  <c r="P14" i="11"/>
  <c r="Q14" i="11" s="1"/>
  <c r="O14" i="11"/>
  <c r="M14" i="11"/>
  <c r="I14" i="11"/>
  <c r="F14" i="11"/>
  <c r="AO13" i="11"/>
  <c r="AR13" i="11" s="1"/>
  <c r="AS13" i="11" s="1"/>
  <c r="AN13" i="11"/>
  <c r="AI13" i="11"/>
  <c r="AF13" i="11"/>
  <c r="AB13" i="11"/>
  <c r="AA13" i="11"/>
  <c r="S13" i="11"/>
  <c r="P13" i="11"/>
  <c r="O13" i="11"/>
  <c r="I13" i="11"/>
  <c r="F13" i="11"/>
  <c r="AT12" i="11"/>
  <c r="AW12" i="11" s="1"/>
  <c r="AO12" i="11"/>
  <c r="AR12" i="11" s="1"/>
  <c r="AS12" i="11" s="1"/>
  <c r="AJ12" i="11"/>
  <c r="AH12" i="11"/>
  <c r="AK12" i="11" s="1"/>
  <c r="AL12" i="11" s="1"/>
  <c r="AD12" i="11"/>
  <c r="AG12" i="11" s="1"/>
  <c r="Z12" i="11"/>
  <c r="W12" i="11"/>
  <c r="Y12" i="11" s="1"/>
  <c r="T12" i="11"/>
  <c r="T31" i="11" s="1"/>
  <c r="T50" i="11" s="1"/>
  <c r="S12" i="11"/>
  <c r="P12" i="11"/>
  <c r="O12" i="11"/>
  <c r="K12" i="11"/>
  <c r="L12" i="11" s="1"/>
  <c r="I12" i="11"/>
  <c r="F12" i="11"/>
  <c r="AX11" i="11"/>
  <c r="AY11" i="11" s="1"/>
  <c r="AO11" i="11"/>
  <c r="AQ11" i="11" s="1"/>
  <c r="AH11" i="11"/>
  <c r="AN11" i="11" s="1"/>
  <c r="AM11" i="11" s="1"/>
  <c r="Z11" i="11"/>
  <c r="W11" i="11"/>
  <c r="Y11" i="11" s="1"/>
  <c r="S11" i="11"/>
  <c r="P11" i="11"/>
  <c r="Q11" i="11" s="1"/>
  <c r="O11" i="11"/>
  <c r="K11" i="11"/>
  <c r="L11" i="11" s="1"/>
  <c r="M11" i="11" s="1"/>
  <c r="I11" i="11"/>
  <c r="F11" i="11"/>
  <c r="AT10" i="11"/>
  <c r="AO10" i="11"/>
  <c r="AR10" i="11" s="1"/>
  <c r="AS10" i="11" s="1"/>
  <c r="AH10" i="11"/>
  <c r="AI10" i="11" s="1"/>
  <c r="Z10" i="11"/>
  <c r="AD10" i="11" s="1"/>
  <c r="Y10" i="11"/>
  <c r="W10" i="11"/>
  <c r="O10" i="11"/>
  <c r="M10" i="11"/>
  <c r="I10" i="11"/>
  <c r="F10" i="11"/>
  <c r="AO9" i="11"/>
  <c r="AR9" i="11" s="1"/>
  <c r="AS9" i="11" s="1"/>
  <c r="AK9" i="11"/>
  <c r="AL9" i="11" s="1"/>
  <c r="AH9" i="11"/>
  <c r="AI9" i="11" s="1"/>
  <c r="Z9" i="11"/>
  <c r="AD9" i="11" s="1"/>
  <c r="W9" i="11"/>
  <c r="Y9" i="11" s="1"/>
  <c r="S9" i="11"/>
  <c r="P9" i="11"/>
  <c r="Q9" i="11" s="1"/>
  <c r="O9" i="11"/>
  <c r="M9" i="11"/>
  <c r="I9" i="11"/>
  <c r="F9" i="11"/>
  <c r="AO8" i="11"/>
  <c r="AQ8" i="11" s="1"/>
  <c r="AH8" i="11"/>
  <c r="AK8" i="11" s="1"/>
  <c r="AL8" i="11" s="1"/>
  <c r="AD8" i="11"/>
  <c r="Z8" i="11"/>
  <c r="W8" i="11"/>
  <c r="Y8" i="11" s="1"/>
  <c r="S8" i="11"/>
  <c r="P8" i="11"/>
  <c r="Q8" i="11" s="1"/>
  <c r="O8" i="11"/>
  <c r="K8" i="11"/>
  <c r="L8" i="11" s="1"/>
  <c r="M8" i="11" s="1"/>
  <c r="I8" i="11"/>
  <c r="F8" i="11"/>
  <c r="AR7" i="11"/>
  <c r="AS7" i="11" s="1"/>
  <c r="AQ7" i="11"/>
  <c r="AH7" i="11"/>
  <c r="AN7" i="11" s="1"/>
  <c r="AM7" i="11" s="1"/>
  <c r="AF7" i="11"/>
  <c r="Z7" i="11"/>
  <c r="X7" i="11"/>
  <c r="W7" i="11"/>
  <c r="AT6" i="11"/>
  <c r="AW6" i="11" s="1"/>
  <c r="AO6" i="11"/>
  <c r="AR6" i="11" s="1"/>
  <c r="AS6" i="11" s="1"/>
  <c r="AH6" i="11"/>
  <c r="AN6" i="11" s="1"/>
  <c r="AM6" i="11" s="1"/>
  <c r="Z6" i="11"/>
  <c r="AD6" i="11" s="1"/>
  <c r="W6" i="11"/>
  <c r="Y6" i="11" s="1"/>
  <c r="S6" i="11"/>
  <c r="P6" i="11"/>
  <c r="Q6" i="11" s="1"/>
  <c r="O6" i="11"/>
  <c r="L6" i="11"/>
  <c r="M6" i="11" s="1"/>
  <c r="K6" i="11"/>
  <c r="I6" i="11"/>
  <c r="F6" i="11"/>
  <c r="AO5" i="11"/>
  <c r="AQ5" i="11" s="1"/>
  <c r="AH5" i="11"/>
  <c r="Z5" i="11"/>
  <c r="AD5" i="11" s="1"/>
  <c r="W5" i="11"/>
  <c r="Y5" i="11" s="1"/>
  <c r="S5" i="11"/>
  <c r="P5" i="11"/>
  <c r="R5" i="11" s="1"/>
  <c r="O5" i="11"/>
  <c r="K5" i="11"/>
  <c r="I5" i="11"/>
  <c r="F5" i="11"/>
  <c r="T3" i="11"/>
  <c r="J8" i="5" l="1"/>
  <c r="AU48" i="11"/>
  <c r="AW31" i="11"/>
  <c r="AW50" i="11" s="1"/>
  <c r="AX12" i="11"/>
  <c r="AY12" i="11" s="1"/>
  <c r="AQ18" i="11"/>
  <c r="AW44" i="11"/>
  <c r="AX44" i="11" s="1"/>
  <c r="AQ26" i="11"/>
  <c r="R15" i="11"/>
  <c r="Z46" i="11"/>
  <c r="Z51" i="11" s="1"/>
  <c r="AU51" i="11"/>
  <c r="AU52" i="11" s="1"/>
  <c r="AT39" i="11"/>
  <c r="AB34" i="11"/>
  <c r="AI24" i="11"/>
  <c r="AK24" i="11"/>
  <c r="AK38" i="11" s="1"/>
  <c r="AN24" i="11"/>
  <c r="AM24" i="11" s="1"/>
  <c r="AC51" i="11"/>
  <c r="AC52" i="11" s="1"/>
  <c r="R27" i="11"/>
  <c r="G48" i="11"/>
  <c r="AB18" i="11"/>
  <c r="AB19" i="11"/>
  <c r="AB27" i="11"/>
  <c r="I31" i="11"/>
  <c r="AD27" i="11"/>
  <c r="AG27" i="11" s="1"/>
  <c r="AH27" i="11" s="1"/>
  <c r="AI27" i="11" s="1"/>
  <c r="G50" i="11"/>
  <c r="G52" i="11" s="1"/>
  <c r="AB25" i="11"/>
  <c r="T46" i="11"/>
  <c r="T51" i="11" s="1"/>
  <c r="T52" i="11" s="1"/>
  <c r="R44" i="11"/>
  <c r="AC11" i="11"/>
  <c r="AQ29" i="11"/>
  <c r="AA34" i="11"/>
  <c r="AA46" i="11" s="1"/>
  <c r="AA51" i="11" s="1"/>
  <c r="R37" i="11"/>
  <c r="AK11" i="11"/>
  <c r="AL11" i="11" s="1"/>
  <c r="K13" i="11"/>
  <c r="K31" i="11" s="1"/>
  <c r="K50" i="11" s="1"/>
  <c r="R24" i="11"/>
  <c r="C48" i="11"/>
  <c r="U46" i="11"/>
  <c r="U51" i="11" s="1"/>
  <c r="U52" i="11" s="1"/>
  <c r="D48" i="11"/>
  <c r="R6" i="11"/>
  <c r="AA5" i="11"/>
  <c r="R13" i="11"/>
  <c r="AH35" i="11"/>
  <c r="AH46" i="11" s="1"/>
  <c r="AG44" i="11"/>
  <c r="E48" i="11"/>
  <c r="H48" i="11"/>
  <c r="R12" i="11"/>
  <c r="AK23" i="11"/>
  <c r="AL23" i="11" s="1"/>
  <c r="F46" i="11"/>
  <c r="F51" i="11" s="1"/>
  <c r="AI12" i="11"/>
  <c r="O31" i="11"/>
  <c r="I46" i="11"/>
  <c r="AT31" i="11"/>
  <c r="AT50" i="11" s="1"/>
  <c r="AN12" i="11"/>
  <c r="AM12" i="11" s="1"/>
  <c r="P31" i="11"/>
  <c r="P50" i="11" s="1"/>
  <c r="R50" i="11" s="1"/>
  <c r="C51" i="11"/>
  <c r="C52" i="11" s="1"/>
  <c r="AN8" i="11"/>
  <c r="AM8" i="11" s="1"/>
  <c r="AN23" i="11"/>
  <c r="AM23" i="11" s="1"/>
  <c r="D51" i="11"/>
  <c r="D52" i="11" s="1"/>
  <c r="AR11" i="11"/>
  <c r="AS11" i="11" s="1"/>
  <c r="P46" i="11"/>
  <c r="P51" i="11" s="1"/>
  <c r="R51" i="11" s="1"/>
  <c r="E51" i="11"/>
  <c r="E52" i="11" s="1"/>
  <c r="AB29" i="11"/>
  <c r="H51" i="11"/>
  <c r="F31" i="11"/>
  <c r="F50" i="11" s="1"/>
  <c r="Y7" i="11"/>
  <c r="AC7" i="11" s="1"/>
  <c r="AA29" i="11"/>
  <c r="AE52" i="11"/>
  <c r="AC8" i="11"/>
  <c r="AF9" i="11"/>
  <c r="AG9" i="11"/>
  <c r="AC12" i="11"/>
  <c r="AC23" i="11"/>
  <c r="V46" i="11"/>
  <c r="AG10" i="11"/>
  <c r="AF10" i="11"/>
  <c r="AG6" i="11"/>
  <c r="AF6" i="11"/>
  <c r="AT34" i="11"/>
  <c r="AS34" i="11"/>
  <c r="AS46" i="11" s="1"/>
  <c r="M12" i="11"/>
  <c r="L13" i="11"/>
  <c r="M13" i="11" s="1"/>
  <c r="AB5" i="11"/>
  <c r="AB21" i="11"/>
  <c r="AP51" i="11"/>
  <c r="AP52" i="11" s="1"/>
  <c r="AP48" i="11"/>
  <c r="AC5" i="11"/>
  <c r="Y46" i="11"/>
  <c r="J52" i="11"/>
  <c r="J48" i="11" s="1"/>
  <c r="AD46" i="11"/>
  <c r="AQ6" i="11"/>
  <c r="AF27" i="11"/>
  <c r="Q44" i="11"/>
  <c r="AQ44" i="11"/>
  <c r="Q12" i="11"/>
  <c r="AA15" i="11"/>
  <c r="R23" i="11"/>
  <c r="AF34" i="11"/>
  <c r="AR44" i="11"/>
  <c r="AR46" i="11" s="1"/>
  <c r="O46" i="11"/>
  <c r="AK10" i="11"/>
  <c r="AL10" i="11" s="1"/>
  <c r="AB15" i="11"/>
  <c r="AB40" i="11"/>
  <c r="Q24" i="11"/>
  <c r="AD11" i="11"/>
  <c r="AK5" i="11"/>
  <c r="AR25" i="11"/>
  <c r="AS25" i="11" s="1"/>
  <c r="AR21" i="11"/>
  <c r="AS21" i="11" s="1"/>
  <c r="R8" i="11"/>
  <c r="AR8" i="11"/>
  <c r="AS8" i="11" s="1"/>
  <c r="AR23" i="11"/>
  <c r="AS23" i="11" s="1"/>
  <c r="AQ24" i="11"/>
  <c r="AA8" i="11"/>
  <c r="AQ10" i="11"/>
  <c r="AQ12" i="11"/>
  <c r="AQ20" i="11"/>
  <c r="R21" i="11"/>
  <c r="AA23" i="11"/>
  <c r="AR28" i="11"/>
  <c r="AS28" i="11" s="1"/>
  <c r="AH29" i="11"/>
  <c r="AN34" i="11"/>
  <c r="AM34" i="11" s="1"/>
  <c r="N48" i="11"/>
  <c r="S48" i="11" s="1"/>
  <c r="H50" i="11"/>
  <c r="AH31" i="11"/>
  <c r="AA7" i="11"/>
  <c r="AQ13" i="11"/>
  <c r="R9" i="11"/>
  <c r="AI7" i="11"/>
  <c r="AB8" i="11"/>
  <c r="AQ9" i="11"/>
  <c r="AI11" i="11"/>
  <c r="AI19" i="11"/>
  <c r="AB23" i="11"/>
  <c r="AO31" i="11"/>
  <c r="AA11" i="11"/>
  <c r="L5" i="11"/>
  <c r="AJ31" i="11"/>
  <c r="AJ48" i="11" s="1"/>
  <c r="AB30" i="11"/>
  <c r="R14" i="11"/>
  <c r="Q5" i="11"/>
  <c r="AA12" i="11"/>
  <c r="AB11" i="11"/>
  <c r="AC6" i="11"/>
  <c r="AB12" i="11"/>
  <c r="Z31" i="11"/>
  <c r="Z50" i="11" s="1"/>
  <c r="AQ34" i="11"/>
  <c r="AO46" i="11"/>
  <c r="AQ46" i="11" s="1"/>
  <c r="AF5" i="11"/>
  <c r="AI5" i="11"/>
  <c r="AK34" i="11"/>
  <c r="AB6" i="11"/>
  <c r="AN10" i="11"/>
  <c r="AM10" i="11" s="1"/>
  <c r="AN9" i="11"/>
  <c r="AM9" i="11" s="1"/>
  <c r="AK7" i="11"/>
  <c r="AA10" i="11"/>
  <c r="AX24" i="11"/>
  <c r="AY24" i="11" s="1"/>
  <c r="AR5" i="11"/>
  <c r="AA9" i="11"/>
  <c r="AB10" i="11"/>
  <c r="AQ41" i="11"/>
  <c r="AN5" i="11"/>
  <c r="AM5" i="11" s="1"/>
  <c r="AD23" i="11"/>
  <c r="AI6" i="11"/>
  <c r="AF8" i="11"/>
  <c r="AK6" i="11"/>
  <c r="AL6" i="11" s="1"/>
  <c r="AG8" i="11"/>
  <c r="AB9" i="11"/>
  <c r="AC10" i="11"/>
  <c r="R11" i="11"/>
  <c r="Q13" i="11"/>
  <c r="AA17" i="11"/>
  <c r="AQ19" i="11"/>
  <c r="R20" i="11"/>
  <c r="AA21" i="11"/>
  <c r="AB24" i="11"/>
  <c r="AK44" i="11"/>
  <c r="AL44" i="11" s="1"/>
  <c r="AG5" i="11"/>
  <c r="AA6" i="11"/>
  <c r="AX6" i="11"/>
  <c r="AY6" i="11" s="1"/>
  <c r="AC9" i="11"/>
  <c r="AF12" i="11"/>
  <c r="AQ14" i="11"/>
  <c r="Q15" i="11"/>
  <c r="AB17" i="11"/>
  <c r="AC24" i="11"/>
  <c r="AI8" i="11"/>
  <c r="AI23" i="11"/>
  <c r="AY31" i="11" l="1"/>
  <c r="AY50" i="11" s="1"/>
  <c r="AX46" i="11"/>
  <c r="AY44" i="11"/>
  <c r="AB46" i="11"/>
  <c r="AV46" i="11"/>
  <c r="AW34" i="11"/>
  <c r="AW46" i="11" s="1"/>
  <c r="T48" i="11"/>
  <c r="T54" i="11"/>
  <c r="AL24" i="11"/>
  <c r="F48" i="11"/>
  <c r="I50" i="11"/>
  <c r="AN27" i="11"/>
  <c r="AM27" i="11" s="1"/>
  <c r="Q51" i="11"/>
  <c r="O48" i="11"/>
  <c r="H52" i="11"/>
  <c r="I52" i="11" s="1"/>
  <c r="U48" i="11"/>
  <c r="I48" i="11"/>
  <c r="F52" i="11"/>
  <c r="Q50" i="11"/>
  <c r="Q31" i="11"/>
  <c r="R31" i="11"/>
  <c r="I51" i="11"/>
  <c r="AG46" i="11"/>
  <c r="AB7" i="11"/>
  <c r="AB31" i="11" s="1"/>
  <c r="AB50" i="11" s="1"/>
  <c r="P48" i="11"/>
  <c r="Q46" i="11"/>
  <c r="AN35" i="11"/>
  <c r="AM35" i="11" s="1"/>
  <c r="K53" i="11"/>
  <c r="L53" i="11" s="1"/>
  <c r="Y31" i="11"/>
  <c r="Y50" i="11" s="1"/>
  <c r="AR51" i="11"/>
  <c r="AB51" i="11"/>
  <c r="AH48" i="11"/>
  <c r="AN46" i="11"/>
  <c r="AM46" i="11" s="1"/>
  <c r="AH51" i="11"/>
  <c r="V48" i="11"/>
  <c r="V51" i="11"/>
  <c r="V52" i="11" s="1"/>
  <c r="AG23" i="11"/>
  <c r="AF23" i="11"/>
  <c r="AQ51" i="11"/>
  <c r="AH50" i="11"/>
  <c r="AI31" i="11"/>
  <c r="AX31" i="11"/>
  <c r="AX50" i="11" s="1"/>
  <c r="AX67" i="11" s="1"/>
  <c r="AT60" i="11"/>
  <c r="AS51" i="11"/>
  <c r="AA31" i="11"/>
  <c r="R46" i="11"/>
  <c r="AO32" i="11"/>
  <c r="AN32" i="11"/>
  <c r="AO50" i="11"/>
  <c r="Z48" i="11"/>
  <c r="AT46" i="11"/>
  <c r="AD31" i="11"/>
  <c r="AD48" i="11" s="1"/>
  <c r="AS5" i="11"/>
  <c r="AS31" i="11" s="1"/>
  <c r="AS48" i="11" s="1"/>
  <c r="AR31" i="11"/>
  <c r="AE48" i="11"/>
  <c r="Z52" i="11"/>
  <c r="M5" i="11"/>
  <c r="L31" i="11"/>
  <c r="AL5" i="11"/>
  <c r="AL34" i="11"/>
  <c r="Y51" i="11"/>
  <c r="AJ50" i="11"/>
  <c r="AJ52" i="11" s="1"/>
  <c r="AN31" i="11"/>
  <c r="AM31" i="11" s="1"/>
  <c r="AO51" i="11"/>
  <c r="AN59" i="11"/>
  <c r="AO48" i="11"/>
  <c r="AN29" i="11"/>
  <c r="AM29" i="11" s="1"/>
  <c r="AI29" i="11"/>
  <c r="AK29" i="11" s="1"/>
  <c r="AL29" i="11" s="1"/>
  <c r="AL7" i="11"/>
  <c r="AL35" i="11" s="1"/>
  <c r="AK35" i="11"/>
  <c r="AK46" i="11" s="1"/>
  <c r="AG11" i="11"/>
  <c r="AF11" i="11"/>
  <c r="AD51" i="11"/>
  <c r="AF46" i="11"/>
  <c r="AQ31" i="11"/>
  <c r="AQ50" i="11" s="1"/>
  <c r="AV51" i="11" l="1"/>
  <c r="AV68" i="11" s="1"/>
  <c r="AV69" i="11" s="1"/>
  <c r="AY46" i="11"/>
  <c r="AY48" i="11" s="1"/>
  <c r="AW48" i="11"/>
  <c r="AW51" i="11"/>
  <c r="R48" i="11"/>
  <c r="Y48" i="11"/>
  <c r="P52" i="11"/>
  <c r="R52" i="11" s="1"/>
  <c r="Q48" i="11"/>
  <c r="Y52" i="11"/>
  <c r="AG51" i="11"/>
  <c r="K44" i="11"/>
  <c r="K46" i="11" s="1"/>
  <c r="K48" i="11" s="1"/>
  <c r="AO52" i="11"/>
  <c r="AL31" i="11"/>
  <c r="AL50" i="11" s="1"/>
  <c r="AT62" i="11"/>
  <c r="AT61" i="11"/>
  <c r="AR50" i="11"/>
  <c r="AR52" i="11" s="1"/>
  <c r="AR32" i="11"/>
  <c r="AG31" i="11"/>
  <c r="AS50" i="11"/>
  <c r="AS52" i="11" s="1"/>
  <c r="AS32" i="11"/>
  <c r="AF51" i="11"/>
  <c r="AF31" i="11"/>
  <c r="AD32" i="11"/>
  <c r="AD50" i="11"/>
  <c r="AD52" i="11" s="1"/>
  <c r="AH52" i="11"/>
  <c r="AN51" i="11"/>
  <c r="AM51" i="11" s="1"/>
  <c r="L44" i="11"/>
  <c r="M53" i="11"/>
  <c r="AN50" i="11"/>
  <c r="AM50" i="11" s="1"/>
  <c r="M31" i="11"/>
  <c r="L50" i="11"/>
  <c r="M50" i="11" s="1"/>
  <c r="AT48" i="11"/>
  <c r="AT51" i="11"/>
  <c r="AN48" i="11"/>
  <c r="AM48" i="11" s="1"/>
  <c r="AF48" i="11"/>
  <c r="AL46" i="11"/>
  <c r="AK51" i="11"/>
  <c r="AQ48" i="11"/>
  <c r="AB48" i="11"/>
  <c r="AQ52" i="11"/>
  <c r="AB52" i="11"/>
  <c r="AA50" i="11"/>
  <c r="AA52" i="11" s="1"/>
  <c r="AA48" i="11"/>
  <c r="AR48" i="11"/>
  <c r="AK31" i="11"/>
  <c r="AK48" i="11" s="1"/>
  <c r="AY51" i="11" l="1"/>
  <c r="Q52" i="11"/>
  <c r="AW52" i="11"/>
  <c r="AW60" i="11"/>
  <c r="AW61" i="11"/>
  <c r="K51" i="11"/>
  <c r="K52" i="11" s="1"/>
  <c r="AF52" i="11"/>
  <c r="AT52" i="11"/>
  <c r="AT59" i="11"/>
  <c r="AX51" i="11"/>
  <c r="AX68" i="11" s="1"/>
  <c r="AX69" i="11" s="1"/>
  <c r="AX48" i="11"/>
  <c r="L46" i="11"/>
  <c r="M44" i="11"/>
  <c r="AL48" i="11"/>
  <c r="AL51" i="11"/>
  <c r="AL52" i="11" s="1"/>
  <c r="AG50" i="11"/>
  <c r="AG48" i="11"/>
  <c r="AP32" i="11"/>
  <c r="AK50" i="11"/>
  <c r="AK52" i="11" s="1"/>
  <c r="AF50" i="11"/>
  <c r="AN52" i="11"/>
  <c r="AM52" i="11" s="1"/>
  <c r="AY52" i="11" l="1"/>
  <c r="AY68" i="11"/>
  <c r="AY69" i="11" s="1"/>
  <c r="AG52" i="11"/>
  <c r="AX61" i="11"/>
  <c r="AX60" i="11"/>
  <c r="AX52" i="11"/>
  <c r="L51" i="11"/>
  <c r="L48" i="11"/>
  <c r="M48" i="11" s="1"/>
  <c r="M46" i="11"/>
  <c r="L52" i="11" l="1"/>
  <c r="M52" i="11" s="1"/>
  <c r="M51" i="11"/>
  <c r="K5" i="5" l="1"/>
  <c r="K4" i="5"/>
  <c r="O9" i="9" l="1"/>
  <c r="M9" i="9"/>
  <c r="N9" i="9"/>
  <c r="Q21" i="2" l="1"/>
  <c r="Q18" i="2"/>
  <c r="Q17" i="2"/>
  <c r="Q16" i="2"/>
  <c r="Q15" i="2"/>
  <c r="Q13" i="2"/>
  <c r="Q11" i="2"/>
  <c r="Q5" i="2"/>
  <c r="Q6" i="2"/>
  <c r="Q7" i="2"/>
  <c r="Q8" i="2"/>
  <c r="Q9" i="2"/>
  <c r="P28" i="2"/>
  <c r="P21" i="2"/>
  <c r="P18" i="2"/>
  <c r="P17" i="2"/>
  <c r="P16" i="2"/>
  <c r="P15" i="2"/>
  <c r="P13" i="2"/>
  <c r="P11" i="2"/>
  <c r="P9" i="2"/>
  <c r="P5" i="2"/>
  <c r="P4" i="2"/>
  <c r="F28" i="2" l="1"/>
  <c r="G28" i="2"/>
  <c r="E33" i="8"/>
  <c r="H5" i="9"/>
  <c r="H6" i="9"/>
  <c r="I17" i="3" l="1"/>
  <c r="L46" i="3"/>
  <c r="K39" i="3"/>
  <c r="J37" i="3"/>
  <c r="L37" i="3" s="1"/>
  <c r="L36" i="3"/>
  <c r="L6" i="3"/>
  <c r="H14" i="4"/>
  <c r="K9" i="4"/>
  <c r="K33" i="4" s="1"/>
  <c r="L31" i="4"/>
  <c r="H14" i="9" l="1"/>
  <c r="H33" i="4"/>
  <c r="G7" i="9"/>
  <c r="G6" i="9"/>
  <c r="E9" i="9" l="1"/>
  <c r="E15" i="9"/>
  <c r="F15" i="9"/>
  <c r="I15" i="9"/>
  <c r="D15" i="9"/>
  <c r="D16" i="9" s="1"/>
  <c r="F9" i="9"/>
  <c r="H9" i="9"/>
  <c r="I16" i="9"/>
  <c r="D9" i="9"/>
  <c r="F16" i="9" l="1"/>
  <c r="E16" i="9"/>
  <c r="J9" i="3" l="1"/>
  <c r="L9" i="3" s="1"/>
  <c r="C19" i="2" l="1"/>
  <c r="L5" i="3"/>
  <c r="L44" i="3"/>
  <c r="L15" i="3"/>
  <c r="N19" i="2" l="1"/>
  <c r="M19" i="2"/>
  <c r="L27" i="3"/>
  <c r="L4" i="3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50" i="3"/>
  <c r="L308" i="1"/>
  <c r="L307" i="1"/>
  <c r="L306" i="1"/>
  <c r="L305" i="1"/>
  <c r="N28" i="2" l="1"/>
  <c r="J42" i="3"/>
  <c r="K42" i="3" s="1"/>
  <c r="Q26" i="2"/>
  <c r="L3" i="7"/>
  <c r="L18" i="4" l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I18" i="3"/>
  <c r="K18" i="3"/>
  <c r="K17" i="3"/>
  <c r="L17" i="3" s="1"/>
  <c r="K16" i="3"/>
  <c r="I16" i="3"/>
  <c r="L16" i="3" s="1"/>
  <c r="C25" i="8"/>
  <c r="C23" i="8"/>
  <c r="C21" i="8"/>
  <c r="C20" i="8"/>
  <c r="C18" i="8"/>
  <c r="C17" i="8"/>
  <c r="C15" i="8"/>
  <c r="C13" i="8"/>
  <c r="C11" i="8"/>
  <c r="C9" i="8"/>
  <c r="C8" i="8"/>
  <c r="C7" i="8"/>
  <c r="C6" i="8"/>
  <c r="C5" i="8"/>
  <c r="C4" i="8"/>
  <c r="C3" i="8"/>
  <c r="C2" i="8"/>
  <c r="J53" i="3"/>
  <c r="J48" i="3"/>
  <c r="J45" i="3"/>
  <c r="J41" i="3"/>
  <c r="L41" i="3" s="1"/>
  <c r="J40" i="3"/>
  <c r="J39" i="3"/>
  <c r="J38" i="3"/>
  <c r="K38" i="3" s="1"/>
  <c r="J32" i="3"/>
  <c r="L32" i="3" s="1"/>
  <c r="J31" i="3"/>
  <c r="L31" i="3" s="1"/>
  <c r="J21" i="3"/>
  <c r="J20" i="3"/>
  <c r="J19" i="3"/>
  <c r="L14" i="3"/>
  <c r="B22" i="8"/>
  <c r="B33" i="8" s="1"/>
  <c r="L18" i="3" l="1"/>
  <c r="G16" i="9"/>
  <c r="L310" i="1"/>
  <c r="C22" i="8"/>
  <c r="C33" i="8" s="1"/>
  <c r="J60" i="3" l="1"/>
  <c r="L60" i="3" s="1"/>
  <c r="P35" i="1"/>
  <c r="L25" i="2"/>
  <c r="Q25" i="2" s="1"/>
  <c r="L30" i="4"/>
  <c r="L29" i="4"/>
  <c r="L28" i="4"/>
  <c r="L27" i="4"/>
  <c r="L26" i="4"/>
  <c r="L25" i="4"/>
  <c r="L24" i="4"/>
  <c r="L23" i="4"/>
  <c r="L22" i="4"/>
  <c r="L21" i="4"/>
  <c r="L20" i="4"/>
  <c r="L19" i="4"/>
  <c r="L17" i="4"/>
  <c r="L16" i="4"/>
  <c r="L14" i="4"/>
  <c r="L13" i="4"/>
  <c r="L12" i="4"/>
  <c r="L9" i="4"/>
  <c r="L8" i="4"/>
  <c r="L7" i="4"/>
  <c r="L6" i="4"/>
  <c r="L5" i="4"/>
  <c r="L4" i="4"/>
  <c r="L3" i="4"/>
  <c r="K28" i="3"/>
  <c r="L28" i="3" s="1"/>
  <c r="F15" i="3"/>
  <c r="L54" i="3"/>
  <c r="F63" i="3"/>
  <c r="C65" i="3"/>
  <c r="C64" i="3"/>
  <c r="E47" i="3"/>
  <c r="H24" i="3"/>
  <c r="L33" i="4" l="1"/>
  <c r="L68" i="3"/>
  <c r="F13" i="3"/>
  <c r="F64" i="3" s="1"/>
  <c r="H13" i="9" l="1"/>
  <c r="J13" i="3"/>
  <c r="M18" i="5"/>
  <c r="L19" i="5"/>
  <c r="M15" i="5"/>
  <c r="L16" i="5"/>
  <c r="M16" i="5" s="1"/>
  <c r="N16" i="5" s="1"/>
  <c r="J52" i="3"/>
  <c r="L52" i="3" s="1"/>
  <c r="L67" i="3" s="1"/>
  <c r="L70" i="3" s="1"/>
  <c r="G5" i="5"/>
  <c r="E5" i="5"/>
  <c r="F5" i="5" s="1"/>
  <c r="D4" i="5"/>
  <c r="M19" i="5" l="1"/>
  <c r="N19" i="5" s="1"/>
  <c r="L5" i="5" s="1"/>
  <c r="E4" i="5"/>
  <c r="F4" i="5" s="1"/>
  <c r="G4" i="5"/>
  <c r="H12" i="9" l="1"/>
  <c r="H10" i="9"/>
  <c r="L4" i="5"/>
  <c r="AV12" i="11" s="1"/>
  <c r="AV31" i="11" s="1"/>
  <c r="L21" i="2"/>
  <c r="L20" i="2"/>
  <c r="L19" i="2"/>
  <c r="Q19" i="2" s="1"/>
  <c r="J21" i="7"/>
  <c r="J22" i="7"/>
  <c r="J23" i="7"/>
  <c r="J24" i="7"/>
  <c r="J25" i="7"/>
  <c r="I23" i="7"/>
  <c r="I24" i="7"/>
  <c r="I25" i="7"/>
  <c r="I21" i="7"/>
  <c r="I22" i="7"/>
  <c r="L20" i="7"/>
  <c r="H20" i="7" s="1"/>
  <c r="L18" i="7"/>
  <c r="H18" i="7" s="1"/>
  <c r="E28" i="2"/>
  <c r="K27" i="2"/>
  <c r="C25" i="2"/>
  <c r="K25" i="2" s="1"/>
  <c r="K24" i="2"/>
  <c r="Q24" i="2" s="1"/>
  <c r="H21" i="2"/>
  <c r="C21" i="2" s="1"/>
  <c r="K21" i="2" s="1"/>
  <c r="K23" i="2"/>
  <c r="Q23" i="2" s="1"/>
  <c r="K22" i="2"/>
  <c r="C20" i="2"/>
  <c r="K20" i="2" s="1"/>
  <c r="Q20" i="2" s="1"/>
  <c r="C18" i="2"/>
  <c r="K18" i="2" s="1"/>
  <c r="H17" i="2"/>
  <c r="C17" i="2" s="1"/>
  <c r="K17" i="2" s="1"/>
  <c r="K16" i="2"/>
  <c r="H15" i="2"/>
  <c r="C15" i="2" s="1"/>
  <c r="K15" i="2" s="1"/>
  <c r="C14" i="2"/>
  <c r="K14" i="2" s="1"/>
  <c r="H13" i="2"/>
  <c r="C13" i="2" s="1"/>
  <c r="H12" i="2"/>
  <c r="C12" i="2" s="1"/>
  <c r="K12" i="2" s="1"/>
  <c r="C11" i="2"/>
  <c r="K11" i="2" s="1"/>
  <c r="H10" i="2"/>
  <c r="C10" i="2" s="1"/>
  <c r="K10" i="2" s="1"/>
  <c r="K9" i="2"/>
  <c r="H8" i="2"/>
  <c r="C8" i="2" s="1"/>
  <c r="K8" i="2" s="1"/>
  <c r="H7" i="2"/>
  <c r="C7" i="2" s="1"/>
  <c r="K7" i="2" s="1"/>
  <c r="K6" i="2"/>
  <c r="H5" i="2"/>
  <c r="C5" i="2" s="1"/>
  <c r="K5" i="2" s="1"/>
  <c r="I28" i="2"/>
  <c r="H4" i="2"/>
  <c r="K4" i="2" s="1"/>
  <c r="Q4" i="2" s="1"/>
  <c r="Q28" i="2" s="1"/>
  <c r="L21" i="7"/>
  <c r="L22" i="7"/>
  <c r="L23" i="7"/>
  <c r="L24" i="7"/>
  <c r="L25" i="7"/>
  <c r="L19" i="7"/>
  <c r="G19" i="7" s="1"/>
  <c r="L14" i="7"/>
  <c r="H14" i="7" s="1"/>
  <c r="L15" i="7"/>
  <c r="H15" i="7" s="1"/>
  <c r="L16" i="7"/>
  <c r="L17" i="7"/>
  <c r="L4" i="7"/>
  <c r="H4" i="7" s="1"/>
  <c r="L5" i="7"/>
  <c r="H5" i="7" s="1"/>
  <c r="L6" i="7"/>
  <c r="H6" i="7" s="1"/>
  <c r="L7" i="7"/>
  <c r="D7" i="7" s="1"/>
  <c r="L8" i="7"/>
  <c r="H8" i="7" s="1"/>
  <c r="L9" i="7"/>
  <c r="D9" i="7" s="1"/>
  <c r="L10" i="7"/>
  <c r="H10" i="7" s="1"/>
  <c r="L11" i="7"/>
  <c r="G11" i="7" s="1"/>
  <c r="L12" i="7"/>
  <c r="G12" i="7" s="1"/>
  <c r="L13" i="7"/>
  <c r="H13" i="7" s="1"/>
  <c r="D3" i="7"/>
  <c r="L36" i="7"/>
  <c r="H36" i="7" s="1"/>
  <c r="D36" i="7"/>
  <c r="K27" i="7"/>
  <c r="H27" i="7"/>
  <c r="G27" i="7"/>
  <c r="F27" i="7"/>
  <c r="E27" i="7"/>
  <c r="D27" i="7"/>
  <c r="C27" i="7"/>
  <c r="B27" i="7"/>
  <c r="H26" i="7"/>
  <c r="G26" i="7"/>
  <c r="F26" i="7"/>
  <c r="E26" i="7"/>
  <c r="D26" i="7"/>
  <c r="C26" i="7"/>
  <c r="H17" i="7"/>
  <c r="G17" i="7"/>
  <c r="D17" i="7"/>
  <c r="H16" i="7"/>
  <c r="G16" i="7"/>
  <c r="D16" i="7"/>
  <c r="G4" i="7"/>
  <c r="D4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G3" i="7"/>
  <c r="F2" i="7"/>
  <c r="E2" i="7"/>
  <c r="AV50" i="11" l="1"/>
  <c r="AV52" i="11" s="1"/>
  <c r="AV48" i="11"/>
  <c r="D13" i="7"/>
  <c r="G13" i="7"/>
  <c r="H3" i="7"/>
  <c r="I3" i="7" s="1"/>
  <c r="H12" i="7"/>
  <c r="D19" i="7"/>
  <c r="G36" i="7"/>
  <c r="J26" i="7"/>
  <c r="I36" i="7"/>
  <c r="J36" i="7" s="1"/>
  <c r="D14" i="7"/>
  <c r="D10" i="7"/>
  <c r="G10" i="7"/>
  <c r="I10" i="7" s="1"/>
  <c r="L11" i="2" s="1"/>
  <c r="G14" i="7"/>
  <c r="I26" i="7"/>
  <c r="J27" i="7"/>
  <c r="H11" i="7"/>
  <c r="D18" i="7"/>
  <c r="I18" i="7" s="1"/>
  <c r="D5" i="7"/>
  <c r="J5" i="7" s="1"/>
  <c r="D11" i="7"/>
  <c r="D6" i="7"/>
  <c r="J6" i="7" s="1"/>
  <c r="D15" i="7"/>
  <c r="J15" i="7" s="1"/>
  <c r="G5" i="7"/>
  <c r="G18" i="7"/>
  <c r="G6" i="7"/>
  <c r="G15" i="7"/>
  <c r="G7" i="7"/>
  <c r="H7" i="7"/>
  <c r="D20" i="7"/>
  <c r="G20" i="7"/>
  <c r="K28" i="2"/>
  <c r="H19" i="7"/>
  <c r="J19" i="7" s="1"/>
  <c r="I19" i="7"/>
  <c r="J16" i="7"/>
  <c r="G9" i="7"/>
  <c r="H9" i="7"/>
  <c r="D12" i="7"/>
  <c r="I12" i="7" s="1"/>
  <c r="L13" i="2" s="1"/>
  <c r="J13" i="7"/>
  <c r="D8" i="7"/>
  <c r="G8" i="7"/>
  <c r="I13" i="7"/>
  <c r="L14" i="2" s="1"/>
  <c r="Q14" i="2" s="1"/>
  <c r="J4" i="7"/>
  <c r="J17" i="7"/>
  <c r="I4" i="7"/>
  <c r="L5" i="2" s="1"/>
  <c r="I27" i="7"/>
  <c r="J9" i="7"/>
  <c r="I9" i="7"/>
  <c r="L10" i="2" s="1"/>
  <c r="Q10" i="2" s="1"/>
  <c r="J3" i="7"/>
  <c r="J28" i="7" s="1"/>
  <c r="I17" i="7"/>
  <c r="L18" i="2" s="1"/>
  <c r="I16" i="7"/>
  <c r="L17" i="2" s="1"/>
  <c r="L29" i="7" l="1"/>
  <c r="I14" i="7"/>
  <c r="L15" i="2" s="1"/>
  <c r="J7" i="7"/>
  <c r="I11" i="7"/>
  <c r="L12" i="2" s="1"/>
  <c r="Q12" i="2" s="1"/>
  <c r="J10" i="7"/>
  <c r="J14" i="7"/>
  <c r="I7" i="7"/>
  <c r="L8" i="2" s="1"/>
  <c r="I15" i="7"/>
  <c r="L16" i="2" s="1"/>
  <c r="L4" i="2"/>
  <c r="I20" i="7"/>
  <c r="I6" i="7"/>
  <c r="L7" i="2" s="1"/>
  <c r="J18" i="7"/>
  <c r="I5" i="7"/>
  <c r="L6" i="2" s="1"/>
  <c r="J20" i="7"/>
  <c r="J12" i="7"/>
  <c r="J11" i="7"/>
  <c r="J8" i="7"/>
  <c r="I8" i="7"/>
  <c r="L9" i="2" s="1"/>
  <c r="H11" i="9" l="1"/>
  <c r="H15" i="9" s="1"/>
  <c r="H16" i="9" s="1"/>
  <c r="L28" i="2"/>
  <c r="E24" i="3" l="1"/>
  <c r="H9" i="3"/>
  <c r="C28" i="2"/>
  <c r="L24" i="1" l="1"/>
  <c r="L2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6" i="1" l="1"/>
  <c r="L175" i="1"/>
  <c r="L174" i="1"/>
  <c r="L173" i="1"/>
  <c r="L172" i="1"/>
  <c r="L171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44" i="1" l="1"/>
  <c r="L43" i="1"/>
  <c r="L41" i="1"/>
  <c r="L40" i="1"/>
  <c r="L39" i="1"/>
  <c r="L38" i="1"/>
  <c r="L309" i="1" l="1"/>
  <c r="L30" i="1"/>
  <c r="L29" i="1"/>
  <c r="L28" i="1"/>
  <c r="L27" i="1"/>
  <c r="L26" i="1"/>
  <c r="L25" i="1"/>
  <c r="L22" i="1"/>
  <c r="L21" i="1"/>
  <c r="L20" i="1"/>
  <c r="L19" i="1"/>
  <c r="Q201" i="1" s="1"/>
  <c r="L18" i="1"/>
  <c r="L17" i="1"/>
  <c r="L16" i="1"/>
  <c r="L15" i="1"/>
  <c r="L14" i="1"/>
  <c r="L13" i="1" l="1"/>
  <c r="L12" i="1"/>
  <c r="L11" i="1"/>
  <c r="L10" i="1"/>
  <c r="L9" i="1"/>
  <c r="L8" i="1"/>
  <c r="L7" i="1"/>
  <c r="L6" i="1"/>
  <c r="L5" i="1"/>
  <c r="L4" i="1"/>
  <c r="L3" i="1"/>
  <c r="L2" i="1"/>
  <c r="H63" i="3"/>
  <c r="H61" i="3"/>
  <c r="H60" i="3"/>
  <c r="H59" i="3"/>
  <c r="H58" i="3"/>
  <c r="H57" i="3"/>
  <c r="H55" i="3"/>
  <c r="H54" i="3"/>
  <c r="H53" i="3"/>
  <c r="H52" i="3"/>
  <c r="H51" i="3"/>
  <c r="H50" i="3"/>
  <c r="H49" i="3"/>
  <c r="H48" i="3"/>
  <c r="H47" i="3"/>
  <c r="H46" i="3"/>
  <c r="H45" i="3"/>
  <c r="XEW45" i="3" s="1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8" i="3"/>
  <c r="H7" i="3"/>
  <c r="H6" i="3"/>
  <c r="H5" i="3"/>
  <c r="H4" i="3"/>
  <c r="K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Marcela Mensikova</author>
    <author>Zdenka Kotulánová</author>
    <author>tc={05CAB44F-FE07-4882-80C1-5D3277F66112}</author>
  </authors>
  <commentList>
    <comment ref="E2" authorId="0" shapeId="0" xr:uid="{F7F8B588-C269-4F4A-A008-D7C946F654BA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ukazatel K</t>
        </r>
      </text>
    </comment>
    <comment ref="D10" authorId="1" shapeId="0" xr:uid="{52CBDDB5-182A-4A25-AE27-B3EA8C6B32AE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384
</t>
        </r>
      </text>
    </comment>
    <comment ref="D15" authorId="1" shapeId="0" xr:uid="{23F588F2-2BE9-4831-8996-76284F445E04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85000=SFK
</t>
        </r>
      </text>
    </comment>
    <comment ref="B22" authorId="2" shapeId="0" xr:uid="{05CAB44F-FE07-4882-80C1-5D3277F6611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Kolik přijde 2025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Marcela Mensikova</author>
    <author>Zdenka Kotulánová</author>
  </authors>
  <commentList>
    <comment ref="F10" authorId="0" shapeId="0" xr:uid="{E949D6CB-7F14-4BB9-9ED5-C371683F2564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použito</t>
        </r>
      </text>
    </comment>
    <comment ref="F11" authorId="0" shapeId="0" xr:uid="{BEB66169-20CF-4627-9E68-92763807453E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nákupy a zařízení při převzetí ateliéru</t>
        </r>
      </text>
    </comment>
    <comment ref="M11" authorId="1" shapeId="0" xr:uid="{E6ABBB45-F2BE-4834-A24B-7F085F4118B8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vrtačka, vozík, dřevěné schody</t>
        </r>
      </text>
    </comment>
    <comment ref="M17" authorId="1" shapeId="0" xr:uid="{47D57969-9133-408B-AB98-804140A9913F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40 tis. výjezd+5*zatemnění a 25 tisíc</t>
        </r>
      </text>
    </comment>
    <comment ref="F19" authorId="0" shapeId="0" xr:uid="{9D416BCB-A4C6-4E6A-B2F5-698B772CD087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plošina  133 000 Kč
</t>
        </r>
      </text>
    </comment>
    <comment ref="K19" authorId="0" shapeId="0" xr:uid="{1A75796A-7FFB-4F8D-B6AC-1CBED9E2BB58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133 000 MP na plošinu</t>
        </r>
      </text>
    </comment>
    <comment ref="M19" authorId="1" shapeId="0" xr:uid="{6DE681BE-AD7B-4B50-B6BF-574BEF7029DA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bez IT</t>
        </r>
      </text>
    </comment>
    <comment ref="F20" authorId="0" shapeId="0" xr:uid="{E6EDF31D-70CF-410C-8CBE-2FF6B0CFE378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nakup materiálu - splněno</t>
        </r>
      </text>
    </comment>
    <comment ref="N20" authorId="0" shapeId="0" xr:uid="{5CE21D9F-6EDD-419F-94D0-7C0039F0A728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na 3 "pracoviště" po 20tis</t>
        </r>
      </text>
    </comment>
    <comment ref="F21" authorId="0" shapeId="0" xr:uid="{2E723A6F-9342-4838-B104-C9013A276385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použito na tiskárnu</t>
        </r>
      </text>
    </comment>
    <comment ref="M21" authorId="1" shapeId="0" xr:uid="{A610906F-B01B-499E-A44E-EF6185D3A084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úložné prostory
</t>
        </r>
      </text>
    </comment>
    <comment ref="N21" authorId="1" shapeId="0" xr:uid="{514ADF34-F39F-4E61-BBD9-F198E4886AEA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bude potvrzeno v 06/2026
</t>
        </r>
      </text>
    </comment>
    <comment ref="M25" authorId="1" shapeId="0" xr:uid="{8072E59D-7071-4A9F-8DA3-87309C054DFA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desky</t>
        </r>
      </text>
    </comment>
    <comment ref="N25" authorId="1" shapeId="0" xr:uid="{402E37D1-9AF2-4488-9B23-0873AB9A2434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poloviva bude ze zakázky VŠCHT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tc={84B964C4-E017-4BA2-808E-740F7E74F2E8}</author>
    <author>Zdenka Kotulánová</author>
    <author>tc={4F5565AF-8CB0-49C7-A732-C5CCEC7433D4}</author>
    <author>tc={2A2E578D-3F9C-475B-A881-B7B0768D8EED}</author>
    <author>tc={D6A8066D-CDED-4FD3-B08E-ED6B83E0C813}</author>
    <author>Marcela Mensikova</author>
    <author>Mrazek, Evzen</author>
    <author>tc={A7FF4CB6-2E1D-4520-A091-946BC4134B3A}</author>
  </authors>
  <commentList>
    <comment ref="K4" authorId="0" shapeId="0" xr:uid="{84B964C4-E017-4BA2-808E-740F7E74F2E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byl 440 tisíc, MS ověřuje</t>
      </text>
    </comment>
    <comment ref="J9" authorId="1" shapeId="0" xr:uid="{4562ABB6-421E-48F2-99D9-C03464B7C7B9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nepřevádět, je postačující</t>
        </r>
      </text>
    </comment>
    <comment ref="E12" authorId="2" shapeId="0" xr:uid="{4F5565AF-8CB0-49C7-A732-C5CCEC7433D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Rezerva na CN zahraniční členky SR</t>
      </text>
    </comment>
    <comment ref="I14" authorId="3" shapeId="0" xr:uid="{2A2E578D-3F9C-475B-A881-B7B0768D8EE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Včetně 30 000-IT
</t>
      </text>
    </comment>
    <comment ref="E25" authorId="4" shapeId="0" xr:uid="{D6A8066D-CDED-4FD3-B08E-ED6B83E0C81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Energie 24 1-8 nebyly v dohadu</t>
      </text>
    </comment>
    <comment ref="I28" authorId="1" shapeId="0" xr:uid="{1A8E5D59-4028-4A4C-89B3-CCE3D9FA2490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MP je možné pokrýt základním rozpočtem- viz rok 2025</t>
        </r>
      </text>
    </comment>
    <comment ref="D37" authorId="5" shapeId="0" xr:uid="{23616831-37E4-4AA4-B902-6ED1E9AF93EE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zeptat se, jestli použili, z čerppání rozpočtu není úplně jasné</t>
        </r>
      </text>
    </comment>
    <comment ref="I41" authorId="1" shapeId="0" xr:uid="{0FCDC279-F50A-4A6A-8A4E-6CFE80AF5CED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pouze do výše  čerpání na dvva workshopy</t>
        </r>
      </text>
    </comment>
    <comment ref="B46" authorId="5" shapeId="0" xr:uid="{9FB6E2AA-F3F4-4549-807D-A379058193E7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dříve ALMA- lednové výplaty ještě ALMA, Large změněn od 3/2024</t>
        </r>
      </text>
    </comment>
    <comment ref="B49" authorId="6" shapeId="0" xr:uid="{90360D85-AEC6-442D-8D7D-C6E574865C33}">
      <text>
        <r>
          <rPr>
            <b/>
            <sz val="9"/>
            <color indexed="81"/>
            <rFont val="Tahoma"/>
            <family val="2"/>
            <charset val="238"/>
          </rPr>
          <t>Mrazek, Evzen:</t>
        </r>
        <r>
          <rPr>
            <sz val="9"/>
            <color indexed="81"/>
            <rFont val="Tahoma"/>
            <family val="2"/>
            <charset val="238"/>
          </rPr>
          <t xml:space="preserve">
ŠK potvrdí název</t>
        </r>
      </text>
    </comment>
    <comment ref="E52" authorId="7" shapeId="0" xr:uid="{A7FF4CB6-2E1D-4520-A091-946BC4134B3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znovu projednáno 10/2025
</t>
      </text>
    </comment>
    <comment ref="D55" authorId="5" shapeId="0" xr:uid="{25753321-0B72-49EF-AD3C-5FFB0393AB4A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na opravu křesel a zabezpečení vestavěného patra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Zdenka Kotulánová</author>
  </authors>
  <commentList>
    <comment ref="L177" authorId="0" shapeId="0" xr:uid="{EFC533CB-A277-4FD3-8699-BE7D553FCFE5}">
      <text>
        <r>
          <rPr>
            <b/>
            <sz val="9"/>
            <color indexed="81"/>
            <rFont val="Tahoma"/>
            <family val="2"/>
            <charset val="238"/>
          </rPr>
          <t>Zdenka Kotulánová:</t>
        </r>
        <r>
          <rPr>
            <sz val="9"/>
            <color indexed="81"/>
            <rFont val="Tahoma"/>
            <family val="2"/>
            <charset val="238"/>
          </rPr>
          <t xml:space="preserve">
Domluvit si s Bárou Grossman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tc={6BA399AB-8401-40F6-8455-2E11817C91A9}</author>
  </authors>
  <commentList>
    <comment ref="J13" authorId="0" shapeId="0" xr:uid="{6BA399AB-8401-40F6-8455-2E11817C91A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40 tisíc z 2025m 40 tisíc základní požadavek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tc={2B5CE268-BE91-44D3-B7D8-4411264A6DFC}</author>
  </authors>
  <commentList>
    <comment ref="K5" authorId="0" shapeId="0" xr:uid="{2B5CE268-BE91-44D3-B7D8-4411264A6DF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Inflace 2,4% + dopad zvýšení úvazků 2024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Mrazek, Evzen</author>
  </authors>
  <commentList>
    <comment ref="J21" authorId="0" shapeId="0" xr:uid="{D8FED688-AB53-4475-8EF8-15945B4379B5}">
      <text>
        <r>
          <rPr>
            <b/>
            <sz val="9"/>
            <color indexed="81"/>
            <rFont val="Tahoma"/>
            <family val="2"/>
            <charset val="238"/>
          </rPr>
          <t>Mrazek, Evzen:</t>
        </r>
        <r>
          <rPr>
            <sz val="9"/>
            <color indexed="81"/>
            <rFont val="Tahoma"/>
            <family val="2"/>
            <charset val="238"/>
          </rPr>
          <t xml:space="preserve">
Nebudou se převádět prostředky z r.2020, rozpočet na 2021 bude krácen - díky epidemiologickým omezením (2020 - 115 tis.Kč x 2021 70 tis.Kč)
</t>
        </r>
      </text>
    </comment>
    <comment ref="J22" authorId="0" shapeId="0" xr:uid="{6CCF3A58-B760-4A68-8D1F-F83D8C249873}">
      <text>
        <r>
          <rPr>
            <b/>
            <sz val="9"/>
            <color indexed="81"/>
            <rFont val="Tahoma"/>
            <family val="2"/>
            <charset val="238"/>
          </rPr>
          <t>Mrazek, Evžen
Bude pouze převod prostředků z roku 2020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Mrazek, Evzen</author>
    <author>Kotulanova Zdenka</author>
    <author>Marcela Mensikova</author>
    <author>tc={48C29091-02E4-4059-8C2C-320796884A6C}</author>
    <author>tc={6C2C014F-E76F-477E-9423-EBBB05104376}</author>
    <author>tc={5CF1D5BE-7150-4226-8BAC-788DC195B9D0}</author>
    <author>Kasykova, Lucie</author>
  </authors>
  <commentList>
    <comment ref="AH5" authorId="0" shapeId="0" xr:uid="{D1E54AC9-C0AD-42A6-8AA4-80D81296B7B8}">
      <text>
        <r>
          <rPr>
            <b/>
            <sz val="9"/>
            <color indexed="81"/>
            <rFont val="Tahoma"/>
            <family val="2"/>
            <charset val="238"/>
          </rPr>
          <t>Mrazek, Evzen:</t>
        </r>
        <r>
          <rPr>
            <sz val="9"/>
            <color indexed="81"/>
            <rFont val="Tahoma"/>
            <family val="2"/>
            <charset val="238"/>
          </rPr>
          <t xml:space="preserve">
Koef. 1,1 x infl 1,15 /22/
</t>
        </r>
      </text>
    </comment>
    <comment ref="AE8" authorId="1" shapeId="0" xr:uid="{3C1AA527-6F9B-4777-B3DD-573263A8EADD}">
      <text>
        <r>
          <rPr>
            <b/>
            <sz val="9"/>
            <color indexed="81"/>
            <rFont val="Tahoma"/>
            <family val="2"/>
            <charset val="238"/>
          </rPr>
          <t>Kotulanova Zdenka:</t>
        </r>
        <r>
          <rPr>
            <sz val="9"/>
            <color indexed="81"/>
            <rFont val="Tahoma"/>
            <family val="2"/>
            <charset val="238"/>
          </rPr>
          <t xml:space="preserve">
Z toho je 511 na Zajícovi 28, 734 mil. Kč</t>
        </r>
      </text>
    </comment>
    <comment ref="AD23" authorId="0" shapeId="0" xr:uid="{A5324D41-8987-4B6E-8CCD-DE818FD3412F}">
      <text>
        <r>
          <rPr>
            <b/>
            <sz val="9"/>
            <color indexed="81"/>
            <rFont val="Tahoma"/>
            <family val="2"/>
            <charset val="238"/>
          </rPr>
          <t>Mrazek, Evzen:</t>
        </r>
        <r>
          <rPr>
            <sz val="9"/>
            <color indexed="81"/>
            <rFont val="Tahoma"/>
            <family val="2"/>
            <charset val="238"/>
          </rPr>
          <t xml:space="preserve">
2021-tvorba fondů 5 miil.Kč - nedokončená vároba 1 mil.-Kč
 </t>
        </r>
      </text>
    </comment>
    <comment ref="AE23" authorId="1" shapeId="0" xr:uid="{8EFF31FF-B058-484A-BD07-80CFBDD5E6F5}">
      <text>
        <r>
          <rPr>
            <b/>
            <sz val="9"/>
            <color indexed="81"/>
            <rFont val="Tahoma"/>
            <family val="2"/>
            <charset val="238"/>
          </rPr>
          <t>Kotulanova Zdenka:</t>
        </r>
        <r>
          <rPr>
            <sz val="9"/>
            <color indexed="81"/>
            <rFont val="Tahoma"/>
            <family val="2"/>
            <charset val="238"/>
          </rPr>
          <t xml:space="preserve">
Nárůst stipendií o 4,2 mil.Kč, tvorba FPP z NPO 4,9 mil. Kč</t>
        </r>
      </text>
    </comment>
    <comment ref="AU23" authorId="2" shapeId="0" xr:uid="{956E2CFD-4B4A-4228-BB97-46B89ED0D597}">
      <text>
        <r>
          <rPr>
            <b/>
            <sz val="9"/>
            <color indexed="81"/>
            <rFont val="Tahoma"/>
            <family val="2"/>
            <charset val="238"/>
          </rPr>
          <t>Marcela Mensikova:</t>
        </r>
        <r>
          <rPr>
            <sz val="9"/>
            <color indexed="81"/>
            <rFont val="Tahoma"/>
            <family val="2"/>
            <charset val="238"/>
          </rPr>
          <t xml:space="preserve">
zahrnuje tvorbu fondů</t>
        </r>
      </text>
    </comment>
    <comment ref="AE24" authorId="1" shapeId="0" xr:uid="{0DFF14BB-E51D-488C-B1B1-46CC803604B3}">
      <text>
        <r>
          <rPr>
            <b/>
            <sz val="9"/>
            <color indexed="81"/>
            <rFont val="Tahoma"/>
            <family val="2"/>
            <charset val="238"/>
          </rPr>
          <t>Kotulanova Zdenka:</t>
        </r>
        <r>
          <rPr>
            <sz val="9"/>
            <color indexed="81"/>
            <rFont val="Tahoma"/>
            <family val="2"/>
            <charset val="238"/>
          </rPr>
          <t xml:space="preserve">
Včetně dotovaných-kompenzovaných 649 098
Nárust dán změnou metodiky účtování.</t>
        </r>
      </text>
    </comment>
    <comment ref="AQ31" authorId="3" shapeId="0" xr:uid="{48C29091-02E4-4059-8C2C-320796884A6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Poměrně velmi přesný odhad, který lehce vychýlil vyšší růst mezd</t>
      </text>
    </comment>
    <comment ref="AT38" authorId="4" shapeId="0" xr:uid="{6C2C014F-E76F-477E-9423-EBBB0510437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NPO, Excelence, koheze</t>
      </text>
    </comment>
    <comment ref="AT41" authorId="5" shapeId="0" xr:uid="{5CF1D5BE-7150-4226-8BAC-788DC195B9D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 1. kvartál bylo 200 tisíc</t>
      </text>
    </comment>
    <comment ref="T44" authorId="6" shapeId="0" xr:uid="{8AECC500-7DCE-419C-91C2-1E94DCFD5C8A}">
      <text>
        <r>
          <rPr>
            <b/>
            <sz val="9"/>
            <color indexed="81"/>
            <rFont val="Tahoma"/>
            <family val="2"/>
            <charset val="238"/>
          </rPr>
          <t>Kasykova, Lucie:</t>
        </r>
        <r>
          <rPr>
            <sz val="9"/>
            <color indexed="81"/>
            <rFont val="Tahoma"/>
            <family val="2"/>
            <charset val="238"/>
          </rPr>
          <t xml:space="preserve">
1111 příspěvek 108.809.930,-</t>
        </r>
      </text>
    </comment>
    <comment ref="V44" authorId="0" shapeId="0" xr:uid="{2DE93234-77FD-4CE9-961C-4A73DF9E38A7}">
      <text>
        <r>
          <rPr>
            <b/>
            <sz val="9"/>
            <color indexed="81"/>
            <rFont val="Tahoma"/>
            <family val="2"/>
            <charset val="238"/>
          </rPr>
          <t>Mrazek, Evzen:</t>
        </r>
        <r>
          <rPr>
            <sz val="9"/>
            <color indexed="81"/>
            <rFont val="Tahoma"/>
            <family val="2"/>
            <charset val="238"/>
          </rPr>
          <t xml:space="preserve">
Nárust jen o inflaci 2,5%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  <author>Gašparín Pavel</author>
    <author>tc={34013761-C8A1-44D3-B424-6249BCD19BB8}</author>
    <author>tc={807A47CF-BAB3-4138-AE31-B53472868307}</author>
    <author>Kuchar, Tomas</author>
    <author>Mrazek, Evzen</author>
    <author>tc={023CC3A2-6C8E-4F5B-8ED3-97064AFE06DB}</author>
  </authors>
  <commentList>
    <comment ref="AG5" authorId="0" shapeId="0" xr:uid="{C46EBC5E-4E0A-4CDA-B319-17CC4A0B4ABF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placeno z NPO c2a1
</t>
        </r>
      </text>
    </comment>
    <comment ref="AG7" authorId="0" shapeId="0" xr:uid="{8FED260F-ADA8-4BA8-B616-34E5EEB38932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placeno z NPO c2a1
</t>
        </r>
      </text>
    </comment>
    <comment ref="AG16" authorId="0" shapeId="0" xr:uid="{57777643-4E20-47F7-9089-83D3C4CE146C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placeno z CRP kyber 2022
</t>
        </r>
      </text>
    </comment>
    <comment ref="E23" authorId="1" shapeId="0" xr:uid="{10F191CE-5CBA-47AD-83BA-F40CBE6B59CB}">
      <text>
        <r>
          <rPr>
            <b/>
            <sz val="9"/>
            <color indexed="81"/>
            <rFont val="Tahoma"/>
            <family val="2"/>
            <charset val="238"/>
          </rPr>
          <t>Gašparín Pavel:</t>
        </r>
        <r>
          <rPr>
            <sz val="9"/>
            <color indexed="81"/>
            <rFont val="Tahoma"/>
            <family val="2"/>
            <charset val="238"/>
          </rPr>
          <t xml:space="preserve">
2025:
Dream Machine
Unifi 48 switch PoE</t>
        </r>
      </text>
    </comment>
    <comment ref="E25" authorId="1" shapeId="0" xr:uid="{F6B39B06-066E-4F9D-8401-0268B5EB5517}">
      <text>
        <r>
          <rPr>
            <sz val="11"/>
            <color theme="1"/>
            <rFont val="Aptos Narrow"/>
            <family val="2"/>
            <charset val="238"/>
            <scheme val="minor"/>
          </rPr>
          <t>NAS – aktuálně máme 7 NAS, ale jen jedna je v záruce. Ideální stav je za mě mít čtyři NASky v záruce. Dvě pro zálohování a dvě pro sdílená data.
Poslední NAS stála cca 240.000,-. Máme jednu v záruce, takže ideálně 3 x 240.000,-</t>
        </r>
      </text>
    </comment>
    <comment ref="E28" authorId="1" shapeId="0" xr:uid="{A59999DC-DC92-4F1F-BD61-45770650DB0B}">
      <text>
        <r>
          <rPr>
            <sz val="9"/>
            <color indexed="81"/>
            <rFont val="Tahoma"/>
            <family val="2"/>
            <charset val="238"/>
          </rPr>
          <t>DELL PowerEdge R750 - 8M134N3 – končí březen 2025
DELL PowerEdge R750 - 7M134N3 – končí březen 2025</t>
        </r>
      </text>
    </comment>
    <comment ref="E29" authorId="2" shapeId="0" xr:uid="{34013761-C8A1-44D3-B424-6249BCD19BB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Dotaz na @Tomáš Kukla zda furt platí</t>
      </text>
    </comment>
    <comment ref="E30" authorId="3" shapeId="0" xr:uid="{807A47CF-BAB3-4138-AE31-B5347286830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Symantec zrušen (bude se nahrazovat windows defenderem), Veritas nahrazen Acronisem
Odpověď:
    Device licence jsou v rámci EES program na vyžádání
Step-UP je cca 20 EUR/1 rok rozdíl
Každopádně ve výročí je už logičtější koupit P2- cca 26 EUR/1 rok
Ceny A3 -dle soutěže
Endpoint pro server cena stejná</t>
      </text>
    </comment>
    <comment ref="E32" authorId="4" shapeId="0" xr:uid="{4912849B-6D0B-47E4-B43E-39267BEB4AA7}">
      <text>
        <r>
          <rPr>
            <b/>
            <sz val="9"/>
            <color indexed="81"/>
            <rFont val="Tahoma"/>
            <family val="2"/>
            <charset val="238"/>
          </rPr>
          <t>Kuchar, Tomas:</t>
        </r>
        <r>
          <rPr>
            <sz val="9"/>
            <color indexed="81"/>
            <rFont val="Tahoma"/>
            <family val="2"/>
            <charset val="238"/>
          </rPr>
          <t xml:space="preserve">
Možná bude nahrazeno FortiGate
</t>
        </r>
      </text>
    </comment>
    <comment ref="E37" authorId="4" shapeId="0" xr:uid="{1A986DCA-4642-4963-8647-97368D67BC17}">
      <text>
        <r>
          <rPr>
            <b/>
            <sz val="9"/>
            <color indexed="81"/>
            <rFont val="Tahoma"/>
            <family val="2"/>
            <charset val="238"/>
          </rPr>
          <t>Kuchar, Tomas:</t>
        </r>
        <r>
          <rPr>
            <sz val="9"/>
            <color indexed="81"/>
            <rFont val="Tahoma"/>
            <family val="2"/>
            <charset val="238"/>
          </rPr>
          <t xml:space="preserve">
Možná bude nahrazeno FortiGate
</t>
        </r>
      </text>
    </comment>
    <comment ref="E45" authorId="4" shapeId="0" xr:uid="{3AF17383-0E5E-4715-BD81-CE863C3C0EF5}">
      <text>
        <r>
          <rPr>
            <b/>
            <sz val="9"/>
            <color indexed="81"/>
            <rFont val="Tahoma"/>
            <family val="2"/>
            <charset val="238"/>
          </rPr>
          <t>Kuchar, Tomas:</t>
        </r>
        <r>
          <rPr>
            <sz val="9"/>
            <color indexed="81"/>
            <rFont val="Tahoma"/>
            <family val="2"/>
            <charset val="238"/>
          </rPr>
          <t xml:space="preserve">
Dodat analýzu (seznam) PC pod supportem</t>
        </r>
      </text>
    </comment>
    <comment ref="E52" authorId="4" shapeId="0" xr:uid="{8198837C-B3D6-4D37-9DFA-E175F13A67DF}">
      <text>
        <r>
          <rPr>
            <b/>
            <sz val="9"/>
            <color indexed="81"/>
            <rFont val="Tahoma"/>
            <family val="2"/>
            <charset val="238"/>
          </rPr>
          <t>Kuchar, Tomas:</t>
        </r>
        <r>
          <rPr>
            <sz val="9"/>
            <color indexed="81"/>
            <rFont val="Tahoma"/>
            <family val="2"/>
            <charset val="238"/>
          </rPr>
          <t xml:space="preserve">
Zkontrolovat licence switchů a nové nepotřebujeme
</t>
        </r>
      </text>
    </comment>
    <comment ref="E57" authorId="4" shapeId="0" xr:uid="{296AF239-6B47-4DF9-A8D4-9A43C510CF62}">
      <text>
        <r>
          <rPr>
            <b/>
            <sz val="9"/>
            <color indexed="81"/>
            <rFont val="Tahoma"/>
            <family val="2"/>
            <charset val="238"/>
          </rPr>
          <t>Kuchar, Tomas:</t>
        </r>
        <r>
          <rPr>
            <sz val="9"/>
            <color indexed="81"/>
            <rFont val="Tahoma"/>
            <family val="2"/>
            <charset val="238"/>
          </rPr>
          <t xml:space="preserve">
Zjistit práci Balcom</t>
        </r>
      </text>
    </comment>
    <comment ref="E70" authorId="1" shapeId="0" xr:uid="{0CE99237-1935-4327-8A66-3A3E0A798CDD}">
      <text>
        <r>
          <rPr>
            <b/>
            <sz val="9"/>
            <color indexed="81"/>
            <rFont val="Tahoma"/>
            <family val="2"/>
            <charset val="238"/>
          </rPr>
          <t xml:space="preserve">Diskové pole Lenovo je:
DE4000H
Model: CTO1WW
Země distribuce: Czech Republic
Objednaný model výrobku: 7Y75A00-2WW
SČ: S4BKL495
</t>
        </r>
      </text>
    </comment>
    <comment ref="AG72" authorId="5" shapeId="0" xr:uid="{B30C520C-5869-45C6-9DAD-2972D7DA52C9}">
      <text>
        <r>
          <rPr>
            <b/>
            <sz val="9"/>
            <color indexed="81"/>
            <rFont val="Tahoma"/>
            <family val="2"/>
            <charset val="238"/>
          </rPr>
          <t>Mrazek, Evzen:</t>
        </r>
        <r>
          <rPr>
            <sz val="9"/>
            <color indexed="81"/>
            <rFont val="Tahoma"/>
            <family val="2"/>
            <charset val="238"/>
          </rPr>
          <t xml:space="preserve">
NPO 1,2 mil.Kč, AVU jen menší část, v roce 2021 odhad 1,2, aktuálně nemáme nabídku, odhad Lex = nadhodnocený
</t>
        </r>
      </text>
    </comment>
    <comment ref="E76" authorId="6" shapeId="0" xr:uid="{023CC3A2-6C8E-4F5B-8ED3-97064AFE06D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Rozvoj sítí na budově Veletržní - není dohad práce</t>
      </text>
    </comment>
  </commentList>
</comments>
</file>

<file path=xl/sharedStrings.xml><?xml version="1.0" encoding="utf-8"?>
<sst xmlns="http://schemas.openxmlformats.org/spreadsheetml/2006/main" count="3436" uniqueCount="1678">
  <si>
    <t>Název účtu</t>
  </si>
  <si>
    <t>Plán 2025</t>
  </si>
  <si>
    <t>Skutečnost 2025</t>
  </si>
  <si>
    <t>Plán 2026</t>
  </si>
  <si>
    <t>Skutečnost 2026</t>
  </si>
  <si>
    <t>Provoz.přísp.MŠMT-A+K</t>
  </si>
  <si>
    <t>FUČ</t>
  </si>
  <si>
    <t>Koheze</t>
  </si>
  <si>
    <t xml:space="preserve">Excelence </t>
  </si>
  <si>
    <t>Provoz.přísp.MŠMT-C doktor.studium</t>
  </si>
  <si>
    <t>Provoz.přísp.MŠMT-U ubyt.stip.</t>
  </si>
  <si>
    <t>Provoz-- F - studenti se SSP - bude čerpáno od r.25</t>
  </si>
  <si>
    <t>Ukazatel I - Program na podp. strateg. Říz. VŠ  -PPSŘ</t>
  </si>
  <si>
    <t>Provoz.přísp.MŠMT-D Erasmus</t>
  </si>
  <si>
    <t>Dotace MŠMT-I CRP- od 2024 příspěvek - PPROVŠ</t>
  </si>
  <si>
    <t>Dotace MŠMT-I CRP- 2 R - sdílená</t>
  </si>
  <si>
    <t>Dotace MŠMT-J stravovací činnost</t>
  </si>
  <si>
    <t>MŠMT - sociální stipndia</t>
  </si>
  <si>
    <t>Dotace Min.kultury a SF kultury /podpora GAVU, sešit/</t>
  </si>
  <si>
    <t>Dotace GAČR</t>
  </si>
  <si>
    <t>Dotace MČ Pha 7, 3</t>
  </si>
  <si>
    <t>Dotace - Specifický výzkum</t>
  </si>
  <si>
    <t>RVO - Dlouhodobý koncepční rozvoj výzkumné org.</t>
  </si>
  <si>
    <t>TAČR</t>
  </si>
  <si>
    <t>Podpora studentů z Ukrajiny - Ukazatel F (dle 2022)</t>
  </si>
  <si>
    <t>Green deal /NPO Zelené dovednosti/</t>
  </si>
  <si>
    <t>Grant OP MŠMT - OP JAK</t>
  </si>
  <si>
    <t>DARY (FUUP) - Kodl, KB</t>
  </si>
  <si>
    <t>MV NPO</t>
  </si>
  <si>
    <t>Veřejná sbírka Ukrajina (z 2022 FUUP)</t>
  </si>
  <si>
    <t>FPP</t>
  </si>
  <si>
    <t>FRIM</t>
  </si>
  <si>
    <t>FUUP</t>
  </si>
  <si>
    <t>Atr in Context /5 studentů 1 semestr/</t>
  </si>
  <si>
    <t>Vlastní příjmy (1630)</t>
  </si>
  <si>
    <t>DČ</t>
  </si>
  <si>
    <t>Celkem</t>
  </si>
  <si>
    <t>Rozpočet 2026 a 2025</t>
  </si>
  <si>
    <t>Popis položky</t>
  </si>
  <si>
    <t>plán</t>
  </si>
  <si>
    <t>skutečnost</t>
  </si>
  <si>
    <t>Ukazatel A - fixní část</t>
  </si>
  <si>
    <t>I.Rozpočtový okruh A+K</t>
  </si>
  <si>
    <t>Ukazatel K - výkonová část</t>
  </si>
  <si>
    <t>koheze a excelence z 2024</t>
  </si>
  <si>
    <t>kapitalizace</t>
  </si>
  <si>
    <t>A+K + FUČ</t>
  </si>
  <si>
    <t>mzdové výdaje vč. odvodů</t>
  </si>
  <si>
    <t>Výdaje ateliérů</t>
  </si>
  <si>
    <t>Výdaje pracovišť</t>
  </si>
  <si>
    <t>navýšení A+K+FUČ 2026 proti 2025</t>
  </si>
  <si>
    <t>Výdaje na budovy</t>
  </si>
  <si>
    <t>Ostatní významné výdaje</t>
  </si>
  <si>
    <t>Přebytek/čerpání fondů</t>
  </si>
  <si>
    <t>Rozpočet 2025  dle jednotlivých struktur</t>
  </si>
  <si>
    <t>Rozpočet 2026 dle jednotlivých struktur</t>
  </si>
  <si>
    <t>Ateliér</t>
  </si>
  <si>
    <t>Rozpočet</t>
  </si>
  <si>
    <t>převod z 2024</t>
  </si>
  <si>
    <t>kalkulace</t>
  </si>
  <si>
    <t>mimoř.</t>
  </si>
  <si>
    <t>RUV</t>
  </si>
  <si>
    <t>presuny stud.</t>
  </si>
  <si>
    <t xml:space="preserve">% čerpání </t>
  </si>
  <si>
    <t>převod z 2025</t>
  </si>
  <si>
    <t>mimořádný požadavek</t>
  </si>
  <si>
    <t>mimoř. schválený</t>
  </si>
  <si>
    <t>30301</t>
  </si>
  <si>
    <t>Malířství I.</t>
  </si>
  <si>
    <t>30302</t>
  </si>
  <si>
    <t>Malířství II.</t>
  </si>
  <si>
    <t>30303</t>
  </si>
  <si>
    <t>Malířství III.</t>
  </si>
  <si>
    <t>30304</t>
  </si>
  <si>
    <t>Malířství IV.</t>
  </si>
  <si>
    <t>30305</t>
  </si>
  <si>
    <t>Kresba</t>
  </si>
  <si>
    <t>30306</t>
  </si>
  <si>
    <t>Grafika I.</t>
  </si>
  <si>
    <t>30307</t>
  </si>
  <si>
    <t>Grafika II.</t>
  </si>
  <si>
    <t>30308</t>
  </si>
  <si>
    <t>Sochařství I.</t>
  </si>
  <si>
    <t>30309</t>
  </si>
  <si>
    <t>Sochařství II.</t>
  </si>
  <si>
    <t>30310</t>
  </si>
  <si>
    <t>Figurální sochařství a medaile</t>
  </si>
  <si>
    <t>30311</t>
  </si>
  <si>
    <t>Intermediální tvorba I.</t>
  </si>
  <si>
    <t>30312</t>
  </si>
  <si>
    <t>Intermediální tvorba II.</t>
  </si>
  <si>
    <t>20000+10000+40000</t>
  </si>
  <si>
    <t>30313</t>
  </si>
  <si>
    <t>Intermediální tvorba III.</t>
  </si>
  <si>
    <t>30314</t>
  </si>
  <si>
    <t>Nová média I.</t>
  </si>
  <si>
    <t>30315</t>
  </si>
  <si>
    <t>Nová média II.</t>
  </si>
  <si>
    <t>30316</t>
  </si>
  <si>
    <t>Restaurování výtvarných děl malířských a</t>
  </si>
  <si>
    <t>30317</t>
  </si>
  <si>
    <t>Restaurování výtvarných děl sochařských</t>
  </si>
  <si>
    <t>30318</t>
  </si>
  <si>
    <t>Architektonická tvorba I.</t>
  </si>
  <si>
    <t>30319</t>
  </si>
  <si>
    <t>Kamenosochařská dílna</t>
  </si>
  <si>
    <t>30321</t>
  </si>
  <si>
    <t>Malířská  přípravka</t>
  </si>
  <si>
    <t>30322</t>
  </si>
  <si>
    <t>Sochařská přípravka</t>
  </si>
  <si>
    <t>30323</t>
  </si>
  <si>
    <t>Kresba přípravka</t>
  </si>
  <si>
    <t>30324</t>
  </si>
  <si>
    <t>UTD - Umění a současné technologie</t>
  </si>
  <si>
    <t>30325</t>
  </si>
  <si>
    <t>Restaurování moderních um.děl z netrad.mater.</t>
  </si>
  <si>
    <t>Rozpočet 2025 dle struktury</t>
  </si>
  <si>
    <t>čerpání 12/2025</t>
  </si>
  <si>
    <t>Rozpočet 2026</t>
  </si>
  <si>
    <t>Pracoviště</t>
  </si>
  <si>
    <t>schválený MP</t>
  </si>
  <si>
    <t>základní</t>
  </si>
  <si>
    <t>Skutečnost</t>
  </si>
  <si>
    <t>Skutečnost MP</t>
  </si>
  <si>
    <t>% čerpání</t>
  </si>
  <si>
    <t>mim.schvál.</t>
  </si>
  <si>
    <t>celkem</t>
  </si>
  <si>
    <t>Rektorka</t>
  </si>
  <si>
    <t>Personální a mzdové oddělení</t>
  </si>
  <si>
    <t>GRID</t>
  </si>
  <si>
    <t>Umělecká rada</t>
  </si>
  <si>
    <t>Interní audit</t>
  </si>
  <si>
    <t>PR oddělení</t>
  </si>
  <si>
    <t>Fotograf</t>
  </si>
  <si>
    <t>Psycholog</t>
  </si>
  <si>
    <t>správní rada (bývalé 80100)</t>
  </si>
  <si>
    <t>Kvestor</t>
  </si>
  <si>
    <t>Ekonomické oddělení</t>
  </si>
  <si>
    <t>Technické oddělení</t>
  </si>
  <si>
    <t>Truhlářská dílna</t>
  </si>
  <si>
    <t>Zámečnická dílna</t>
  </si>
  <si>
    <t>Štukatérská dílna</t>
  </si>
  <si>
    <t>Sklad</t>
  </si>
  <si>
    <t>Autoprovoz</t>
  </si>
  <si>
    <t>Údržba</t>
  </si>
  <si>
    <t>Hlavní budova</t>
  </si>
  <si>
    <t>Budova Školy architektury</t>
  </si>
  <si>
    <t>Budova Moderní galerie</t>
  </si>
  <si>
    <t>Budova Jana Zajíce</t>
  </si>
  <si>
    <t>Budova Šaloun</t>
  </si>
  <si>
    <t>Keramická dílna</t>
  </si>
  <si>
    <t>Veletržní - BD</t>
  </si>
  <si>
    <t>BJ Kubínová</t>
  </si>
  <si>
    <t>Veletržní - GAVU</t>
  </si>
  <si>
    <t>IT oddělení</t>
  </si>
  <si>
    <t>Technolog</t>
  </si>
  <si>
    <t>Prorektor pro studijní záležitosti</t>
  </si>
  <si>
    <t>Studijní oddělení</t>
  </si>
  <si>
    <t>Dílny - vedoucí</t>
  </si>
  <si>
    <t>Katedra teorie a dějin umění</t>
  </si>
  <si>
    <t>Grafické dílny</t>
  </si>
  <si>
    <t>Digitální laboratoř</t>
  </si>
  <si>
    <t>3D středisko</t>
  </si>
  <si>
    <t>Zahraniční studijní oddělení</t>
  </si>
  <si>
    <t>Atelér hostujícího umělce /AiC</t>
  </si>
  <si>
    <t>Prorektor pro internacionalizaci a výzkum</t>
  </si>
  <si>
    <t>Oddělení podpory výzkumu</t>
  </si>
  <si>
    <t>Oddělení mezinárodní spolupráce</t>
  </si>
  <si>
    <t>Vědecko výzkumné pracoviště  VVP</t>
  </si>
  <si>
    <t>Oddělení LARGE</t>
  </si>
  <si>
    <t>Oddělení doktorského výzkumu</t>
  </si>
  <si>
    <t>Grantové oddělení</t>
  </si>
  <si>
    <t>Oddělení projektové podpory (býv OP3V)</t>
  </si>
  <si>
    <t>Galerie AVU</t>
  </si>
  <si>
    <t>Nakladatelství  AVU</t>
  </si>
  <si>
    <t>Knihovna</t>
  </si>
  <si>
    <t>Archiv</t>
  </si>
  <si>
    <t>Artyčok</t>
  </si>
  <si>
    <t>Kancelář rektorátu / Kancléřka/</t>
  </si>
  <si>
    <t xml:space="preserve"> </t>
  </si>
  <si>
    <t>Sekretariát rektora/ky</t>
  </si>
  <si>
    <t>Právník</t>
  </si>
  <si>
    <t>Akademický klub</t>
  </si>
  <si>
    <t>Akademický senát</t>
  </si>
  <si>
    <t>Prorektor pro kvalitu a rozvoj</t>
  </si>
  <si>
    <t>Oddělení rozvoje vzdělávání</t>
  </si>
  <si>
    <t>Oddělení hodnocení a kvality</t>
  </si>
  <si>
    <t>Škola</t>
  </si>
  <si>
    <t>Celkem vše</t>
  </si>
  <si>
    <t>náklady celkem</t>
  </si>
  <si>
    <t>Celkem budovy a škola</t>
  </si>
  <si>
    <t>náklady na budovy</t>
  </si>
  <si>
    <t>náklady na pracoviště bez budov</t>
  </si>
  <si>
    <t>Pořadí</t>
  </si>
  <si>
    <t>kategorie</t>
  </si>
  <si>
    <t>rok</t>
  </si>
  <si>
    <t>email</t>
  </si>
  <si>
    <t>pracoviště číslo</t>
  </si>
  <si>
    <t>pracoviště název</t>
  </si>
  <si>
    <t>priorita</t>
  </si>
  <si>
    <t>lešení pojízdné „PROTEC KRAUSE“ hliníkové, pracovní výška 6.3 m vysoké stropy v obou atelierech 8m, manipulace při instalaci klauzur</t>
  </si>
  <si>
    <t>zdůvodnění</t>
  </si>
  <si>
    <t>jednotková cena</t>
  </si>
  <si>
    <t>počet</t>
  </si>
  <si>
    <t>částka celkem</t>
  </si>
  <si>
    <t>Schváleno</t>
  </si>
  <si>
    <t>osoba přebírající</t>
  </si>
  <si>
    <t>popis</t>
  </si>
  <si>
    <t>zadávací specifikace</t>
  </si>
  <si>
    <t>Ostaní významný náklad</t>
  </si>
  <si>
    <t>zadávací specifikace VZ</t>
  </si>
  <si>
    <t>název dodavatele 1</t>
  </si>
  <si>
    <t>cena dodavatele 1</t>
  </si>
  <si>
    <t>název dodavatele 2</t>
  </si>
  <si>
    <t>cena dodavatele 2</t>
  </si>
  <si>
    <t>název dodavatele 3</t>
  </si>
  <si>
    <t>cena dodavatele 3</t>
  </si>
  <si>
    <t>ano</t>
  </si>
  <si>
    <t>ano ale</t>
  </si>
  <si>
    <t>ne</t>
  </si>
  <si>
    <t>storno</t>
  </si>
  <si>
    <t>Ostatní</t>
  </si>
  <si>
    <t>zbynek.baladran@avu.cz</t>
  </si>
  <si>
    <t>Grafika 2+1</t>
  </si>
  <si>
    <t>V obou atelierech je třeba na instalace lešení (vysoké stropy 8m) Zapůjčuje se z hlavní budovy. Jedno lešení v Moderní galerii by usmadnilo mnoho věcí</t>
  </si>
  <si>
    <t>Baladrán</t>
  </si>
  <si>
    <t>Základní,     lešení pojízdné „PROTEC KRAUSE“ hliníkové, pracovní výška 6.3</t>
  </si>
  <si>
    <t>zkusí půjčit od Kracíka</t>
  </si>
  <si>
    <t>Grafika 2</t>
  </si>
  <si>
    <t>Vymalování ateliéru</t>
  </si>
  <si>
    <t>Po zatečení a po opakovaných instalací klauzur je nutné vyspravit stěny a vymalovat</t>
  </si>
  <si>
    <t>Základní,  vymalování obou ateliérů na bílo</t>
  </si>
  <si>
    <t>Školení</t>
  </si>
  <si>
    <t>katerina.olivova@avu.cz</t>
  </si>
  <si>
    <t>Nová media 2</t>
  </si>
  <si>
    <t>Supervize - zvyšování kompetencí pedagožstva</t>
  </si>
  <si>
    <t>Supervize je zásadní nástroj pro naši práci, kterým uvěřujeme funkčnost používaných mechanismů, pomáhá nám komunikovat komplikovaná témata ve vedoucím týmu, řešit a promýšlet konkrétní problémy, nacházet strategie našeho fungování, upevňování pedagogické metodologie a komplexní prohlubování pedagogických kompetencí.</t>
  </si>
  <si>
    <t>Olivová</t>
  </si>
  <si>
    <t>IT</t>
  </si>
  <si>
    <t>Archivace děl studujících, transport nezpracovaného videomateriálu apod.</t>
  </si>
  <si>
    <t>Jan Matýsek</t>
  </si>
  <si>
    <t>Externí disk</t>
  </si>
  <si>
    <t>Externí disk (8T) - https://m.alza.cz/wd-my-book-8tb-d4524411.htm?fbclid=IwY2xjawPkaKtleHRuA2FlbQIxMABicmlkETF1bmpXTTA3T1hRUXMwMTRJc3J0YwZhcHBfaWQQMjIyMDM5MTc4ODIwMDg5MgABHrtnbP4Zn9tLS5GNAmZXJnY41WjtGcWj4z4SEm1WsmgkFQaBLXe4ASV0iOI4_aem_E3z_idiXMYEJRoIilpkj4w</t>
  </si>
  <si>
    <t>Alza</t>
  </si>
  <si>
    <t>práce se zvukem a prezentaci na audiu založených uměleckých děl.</t>
  </si>
  <si>
    <t>V tuto chvíli nedisponujeme žádnými podobně kvalitními sluchátky vhodnými na práci se zvukem a prezentaci na audiu založených uměleckých děl.</t>
  </si>
  <si>
    <t>Kvalitní studiová sluchátka</t>
  </si>
  <si>
    <t>Kvalitní studiová sluchátka - https://www.muziker.cz/beyerdynamic-dt-150-250-ohm?fbclid=IwY2xjawPkaWVleHRuA2FlbQIxMABicmlkETF1bmpXTTA3T1hRUXMwMTRJc3J0YwZhcHBfaWQQMjIyMDM5MTc4ODIwMDg5MgABHrtnbP4Zn9tLS5GNAmZXJnY41WjtGcWj4z4SEm1WsmgkFQaBLXe4ASV0iOI4_aem_E3z_idiXMYEJRoIilpkj4w</t>
  </si>
  <si>
    <t>Muziker</t>
  </si>
  <si>
    <t>Zvuková karta nutná k fungování reproduktorů Genelec.</t>
  </si>
  <si>
    <t>Zvuková karta k reproduktorům</t>
  </si>
  <si>
    <t>Zvuková karta k reproduktorům Genelec - https://www.thomann.de/cz/focusrite_scarlett_solo_3rd_gen.htm?fbclid=IwY2xjawPkbFJleHRuA2FlbQIxMABicmlkETF1bmpXTTA3T1hRUXMwMTRJc3J0YwZhcHBfaWQQMjIyMDM5MTc4ODIwMDg5MgABHvMoulbbef27KPn-cUomv0UfsqJlKvw99CcnOpoi4xpeDvjHEf6VdlDAmykI_aem_o46G_mEjoyKvi2UsP7bVVw</t>
  </si>
  <si>
    <t>Thomann</t>
  </si>
  <si>
    <t>Zvýšení vybavenosti ateliéru, který v tuto chvíli disponuje už staršími reproktury nižší kvality a  stolními počítačovými reproduktory, které kvalitativně neodpovídají potřebám novomediálního studia.</t>
  </si>
  <si>
    <t>Reproduktory</t>
  </si>
  <si>
    <t>Reproduktory - https://www.thomann.de/cz/genelec_8010_ap.htm?glp=1&amp;gad_source=1&amp;gad_campaignid=1565670951&amp;gbraid=0AAAAADuDMCVyXoO5ba3jYns01_0H9odza&amp;gclid=Cj0KCQiAvtzLBhCPARIsALwhxdqUdQW5UWaM6Ujo93VyEs8q97cS1ncIznHIt26k1Jf8X8rKw7Gfe2gaAnc4EALw_wcB&amp;fbclid=IwY2xjawPkZ4dleHRuA2FlbQIxMABicmlkETF1bmpXTTA3T1hRUXMwMTRJc3J0YwZhcHBfaWQQMjIyMDM5MTc4ODIwMDg5MgABHveZ1v5_XDc-Zr9UK2YnkNAs7wKpgplH0B_OjupNnWPWvYdM4bBm0Ws7l0NH_aem_rXeQwTzVuuIhHPr9t3e1aQ</t>
  </si>
  <si>
    <t>přehrávačů nutných pro veřejné prezentace umělekých děl studujících během klauzur, diplomových výstav, ateliérových výstav apod.</t>
  </si>
  <si>
    <t>Doplnění stávajícího nedostatečného počtu multimediálních přehrávačů nutných pro veřejné prezentace umělekých děl studujících během klauzur, diplomových výstav, ateliérových výstav apod.</t>
  </si>
  <si>
    <t>Mulzimediální přehrávače</t>
  </si>
  <si>
    <t>Přehrávač - https://m.alza.cz/evolveo-dcolor-gd2-multimedialni-box-4k-ultra-hd-d13177416.htm?fbclid=IwY2xjawPkajJleHRuA2FlbQIxMABicmlkETF1bmpXTTA3T1hRUXMwMTRJc3J0YwZhcHBfaWQQMjIyMDM5MTc4ODIwMDg5MgABHrtnbP4Zn9tLS5GNAmZXJnY41WjtGcWj4z4SEm1WsmgkFQaBLXe4ASV0iOI4_aem_E3z_idiXMYEJRoIilpkj4w</t>
  </si>
  <si>
    <t>jan.rous@avu.cz</t>
  </si>
  <si>
    <t>Drobná spotřební technika pro natáčení a orozpočet na údržbu či opravy techniky. Kancelářské potřeby.</t>
  </si>
  <si>
    <t>Kancelářské potřeby a drobné dovybavení pracoviště představují flexibilní rozpočet pro průběžné nákupy drobných potřeb.</t>
  </si>
  <si>
    <t>Ano</t>
  </si>
  <si>
    <t>Jan Rous</t>
  </si>
  <si>
    <t xml:space="preserve">Flexibilní rozpočet na drobnou spotřební techniku (baterie, kabely), kancelářské potřeby či drobné vybavení pracoviště. Též určeno na opravy a údržbu techniky pracoviště. </t>
  </si>
  <si>
    <t>konzultační seminář s pedagožkou FAMU a réžisérkou Lucií Královou v semináři Pohyblivý obraz.</t>
  </si>
  <si>
    <t>Již několik let zveme Lucii Královou do semináře Pohyblivý obraz na konzultační workshop v závěru roku. Její pohled a profesní zkušenosti přinášejí neocenitelnou hodnotu pro všechny zúčastněné studující.</t>
  </si>
  <si>
    <t>2 denní konzultační workshop s režisérkou a pedagožkou FAMU, Lucií Královou.</t>
  </si>
  <si>
    <t>Základní</t>
  </si>
  <si>
    <t>Nový pracovní notebook pro vedoucího pracoviště.</t>
  </si>
  <si>
    <t>Současný pracovní notebook byl pochází z roku 2018 a již v loňském roce jsem avizoval nutnost jeho brzké výměny.</t>
  </si>
  <si>
    <t>Mac Book Pro pro práci se 4K videem, minimální parametry procesor M4, 32GB RAM, 1TB disk</t>
  </si>
  <si>
    <t>Stejně jako v loňském roce potřebujeme placenou verzi Vimeo kanálu pro průběžnou práci s video materiály a sdílení videí se studujícími v rámci semináře Pohyblivý obraz</t>
  </si>
  <si>
    <t>Použití: audiovizuální zpracování materiálů 
pro pracoviště Artyčok a seminář Pohyblivý obraz.</t>
  </si>
  <si>
    <t>Vimeo kanál - roční předplatné.</t>
  </si>
  <si>
    <t>david.fesl@avu.cz</t>
  </si>
  <si>
    <t>Socha 1</t>
  </si>
  <si>
    <t>potřebné pro provoz atelieru</t>
  </si>
  <si>
    <t>bohužel zničeno při instalaci klauzurních prací; studující ji shodili z lešeni, oprava nelze, pojištění nebylo; v ateliéru jiné podobné nářadí není a je potřebné</t>
  </si>
  <si>
    <t>David Fesl</t>
  </si>
  <si>
    <t>vrtačka DeWalt DCK2060D2T 18V sada</t>
  </si>
  <si>
    <t>nutno zakoupit levněji (5 500)</t>
  </si>
  <si>
    <t>nutný pro práci ve výškách, v tuto dobu si půjčujeme z Intermédií 2, který je jediným ateliérem, který to má na HB v majetku</t>
  </si>
  <si>
    <t>hliníkový výsuvný žebřík, 7m</t>
  </si>
  <si>
    <t>konzultace s Vlastou Elmerovou</t>
  </si>
  <si>
    <t>na AVU jsou pouze dvoje sochařské schody (Socha 2, a atrium MG), obojí ve špatném stavu, jsou už velmi staré; rádi bychom nechali u truhlářů vyrobit nové; používají se často při výuce figuální sochy a při tvorbě monumentálních děl</t>
  </si>
  <si>
    <t>materiál na výrobu sochařských schodů (prkna, kování)</t>
  </si>
  <si>
    <t>bude dělat dílna-sdílení mezi sochami</t>
  </si>
  <si>
    <t>velmi používané zvlášť v sochařských ateliérech, v současné době musíme půjčovat od údržby</t>
  </si>
  <si>
    <t>paletový vozík</t>
  </si>
  <si>
    <t>Nutno zakoupit levnějí cca 14-15 tis. Kč</t>
  </si>
  <si>
    <t>při práci v ateliéru studující častěji využívají elektrické nástroje, chybí nám kabeláž</t>
  </si>
  <si>
    <t>prodlužovací kabely</t>
  </si>
  <si>
    <t>bude pořízeno za základního rozpočtu</t>
  </si>
  <si>
    <t>Prorektorát pro kvalitu a rozvoj</t>
  </si>
  <si>
    <t>kancelářský a běžný provozní  materiál</t>
  </si>
  <si>
    <t>provoz</t>
  </si>
  <si>
    <t>pracovní cesta</t>
  </si>
  <si>
    <t>repre</t>
  </si>
  <si>
    <t>odměny</t>
  </si>
  <si>
    <t>návrh a výroba merchandisingu AVU</t>
  </si>
  <si>
    <t>merchandising převážně určený pro obdarování partnerů, z menší části jako prodejní kusy</t>
  </si>
  <si>
    <t>informační materiály o instituci – zahraniční reprezentace (1 materiál),  lokální široké publikum (1materiál)</t>
  </si>
  <si>
    <t>na přání p.rektora; cena včetně návrhu, korektur, překladů a tisku</t>
  </si>
  <si>
    <t>manažerské školení, supervize</t>
  </si>
  <si>
    <t>je to nový prorektorát, z elektroniky má v majetku pouze laptop a nově od ledna také tiskárnu (z té mám velikou radost!)</t>
  </si>
  <si>
    <t>větší monitor pro prezentace a náležící kabeláž</t>
  </si>
  <si>
    <t>opětovná aktivace elektronického podpisu</t>
  </si>
  <si>
    <t>můžeme se pokusit částku snížit, ale raději volím nadsazenější variantu, bojím se v tomto případě být konzervativní, práce grafiků je nákladná</t>
  </si>
  <si>
    <t>grafická a obsahová úprava www.avu.cz a dalších přidružených microsites</t>
  </si>
  <si>
    <t xml:space="preserve">snížit o 10 000 </t>
  </si>
  <si>
    <t>je to nový prorektorát, který nemá vybavení (potřebuji min. čtyři židle, věšák, velký stůl vhodný pro schůzky aspoň šesti osob, koberec nebo závěsy kvůli akustice)</t>
  </si>
  <si>
    <t>vybavení kanceláře</t>
  </si>
  <si>
    <t>mimořádný</t>
  </si>
  <si>
    <t>tiskovina ke čtyřleté dislokaci</t>
  </si>
  <si>
    <t>na přání p.rektora; cena včetně návrhu a tisku</t>
  </si>
  <si>
    <t>obnova foyer 2 NP HB</t>
  </si>
  <si>
    <t>kovový nábytek, květníky, ostatní materiál nutný k přesazení květin – předělaný návrh A.Wlazela</t>
  </si>
  <si>
    <r>
      <t>na školu z PPSŘ,</t>
    </r>
    <r>
      <rPr>
        <b/>
        <sz val="10"/>
        <color theme="1"/>
        <rFont val="Aptos Narrow"/>
        <family val="2"/>
        <scheme val="minor"/>
      </rPr>
      <t xml:space="preserve"> přidat nástěnky</t>
    </r>
  </si>
  <si>
    <t>pokračování v obnově foyer 1 NP HB</t>
  </si>
  <si>
    <t>1. etapa – výmalba, oprava podlah a pískovcových částí sloupů, zábradlí, autorský dozor, – návrh J. Traugotta (2025), nacenění (2021)</t>
  </si>
  <si>
    <t>Počkáme na celkový rozpočet novéhé akce - rekonstrukce školy</t>
  </si>
  <si>
    <t>2. etapa – customizovaný lustr a sofa, stěhování sochařských děl</t>
  </si>
  <si>
    <t>3. etapa – zbudování schodů a nových vstupů do budovy, úprava vozovky, fasády a vnitřních prostor</t>
  </si>
  <si>
    <t>náklady spojené se stěhováním kvůli rekonstrukci 3NP HB</t>
  </si>
  <si>
    <t>z rozpočtu školy</t>
  </si>
  <si>
    <t>adam.trbusek@avu.cz</t>
  </si>
  <si>
    <t>Umění a současné technologie</t>
  </si>
  <si>
    <t xml:space="preserve">odborné kurzy a semináře vedené externími firmami a odborníky v rámci předmetu "integrované kurzy"  </t>
  </si>
  <si>
    <t xml:space="preserve">rozpočet na integrované kurzy se odvijí od akreditace profesního oboru, kde tvoří základ pro výuku nejaktuálnějších technologických postupů a trendů. Jedná se o každoroční požadavek   </t>
  </si>
  <si>
    <t>Adam Trbušek</t>
  </si>
  <si>
    <t>snížení na 50 000- zbytek v 06/2026</t>
  </si>
  <si>
    <t xml:space="preserve">výuka externích pedagogů v rámci předmětů "Integrované kurzy" a "Modulová výuka" </t>
  </si>
  <si>
    <t xml:space="preserve">rozpočet na externí pedagoštvo je stejně klíčová položka pro zvyšování specifických kompetencí a odborností. Jedná se o každoroční požadavek    </t>
  </si>
  <si>
    <t>úprava prostor pro vybavení studia ve sklepních prostor, veletržní. Vyklízení, výmalba.</t>
  </si>
  <si>
    <t>jednorázový požadavek pro nezbytnou přípravu prostor</t>
  </si>
  <si>
    <t>náklad Vele</t>
  </si>
  <si>
    <t>příprava dalších 4 míst v učebně pro nové studující na ZS 2026</t>
  </si>
  <si>
    <t>router do učebny - Veletržní, pro vetší objemy dat (VR brýle apod.)</t>
  </si>
  <si>
    <t>nutná úprava pro provoz dílčího vybavení</t>
  </si>
  <si>
    <t>uklid učebny 1x týdně (vytření podlahy, otření prachu)</t>
  </si>
  <si>
    <t>dle charakteru - učebny s počítači - je potřeba udržovat co nejméně prašné prostředí s ohledem na životnost techniky</t>
  </si>
  <si>
    <t>dle skutečnosti</t>
  </si>
  <si>
    <t>náklad školy</t>
  </si>
  <si>
    <t xml:space="preserve">základní rozpočet pro provoz pracovište </t>
  </si>
  <si>
    <t xml:space="preserve">nutné náklady pro obsluhu a chod  všech zařízení a spotřební doplnkové materiály. </t>
  </si>
  <si>
    <t>náklady spojené s realizací komplexních projektů a jejich přípravou napříč obory</t>
  </si>
  <si>
    <t>k.cozlovacmolikova@avu.cz</t>
  </si>
  <si>
    <t>odměny AP</t>
  </si>
  <si>
    <t>pokračování v rámci nastavených odměn za práci nad rámec povinností</t>
  </si>
  <si>
    <t>2000 (168 000)</t>
  </si>
  <si>
    <t>7x12 měsíců</t>
  </si>
  <si>
    <t>Antidiskriminační platforma</t>
  </si>
  <si>
    <t>právní poradenství a konzultace</t>
  </si>
  <si>
    <t>pokračování v zajištění služeb poradenských GRID</t>
  </si>
  <si>
    <t>dle sazeb jednotlivých poradců a poradkyň</t>
  </si>
  <si>
    <t>externistka, zprostředkováno GRID K. Čmolíková Cozlová</t>
  </si>
  <si>
    <t>externí psychologická-terapeutická péče</t>
  </si>
  <si>
    <t>externí funkční diagnostika</t>
  </si>
  <si>
    <t>pokračování v zajištění služeb SSP GRID</t>
  </si>
  <si>
    <t>asistentstvo, zprostředkováno GRID K. Čmolíková Cozlová/B. Šimková</t>
  </si>
  <si>
    <t>ssp asistentstvo</t>
  </si>
  <si>
    <t>80 x a 500 Kč</t>
  </si>
  <si>
    <t>koučink a supervize pro klientstvo</t>
  </si>
  <si>
    <t>supervize GRID a AP</t>
  </si>
  <si>
    <t>pokračování v zajištění služeb antidiskriminačních GRID</t>
  </si>
  <si>
    <t>15 hodin a 1400 Kč</t>
  </si>
  <si>
    <t>ostatní</t>
  </si>
  <si>
    <t>pracovní cesta - ŠOP olomouc</t>
  </si>
  <si>
    <t>zvyšování odborných kapacit ombudsmanské</t>
  </si>
  <si>
    <t>K. Čmolíková Cozlová</t>
  </si>
  <si>
    <t>školení</t>
  </si>
  <si>
    <t>pracovní cesta - SSP poradenství olomouc</t>
  </si>
  <si>
    <t>zvyšování odborných kapacit SSP</t>
  </si>
  <si>
    <t>B. Šimková</t>
  </si>
  <si>
    <t>pracovní cesta - ENOHE Krakow účastnický poplatek</t>
  </si>
  <si>
    <t>500 Euro</t>
  </si>
  <si>
    <t>pracovní cesta ENOHE - Krakow (červen)</t>
  </si>
  <si>
    <t>pracovní cesta Gender Safe Řím (listopad)</t>
  </si>
  <si>
    <t>zvyšování odborných kapacit antidiskriminační</t>
  </si>
  <si>
    <t>drobný kancelářský materiál (tisk, tonery)</t>
  </si>
  <si>
    <t xml:space="preserve">zajištění fungování kanceláře </t>
  </si>
  <si>
    <t>GRID K. Čmolíková Cozlová</t>
  </si>
  <si>
    <t>školení pro zvyšování kompetencí v antidiskriminaci</t>
  </si>
  <si>
    <t>realizace opatření GRID a GEP</t>
  </si>
  <si>
    <t>Bára G</t>
  </si>
  <si>
    <t>grafika a tisk awareness rising materiálů (prevence násilí)</t>
  </si>
  <si>
    <t>marcela.mensikova@avu.cz</t>
  </si>
  <si>
    <t>Setkání ekonomů VŠ (2x-Apua)</t>
  </si>
  <si>
    <t>Setkání ekonomů, výměna zkušeností, konzultace</t>
  </si>
  <si>
    <t>M.Menšíková/Z.Kotulánová</t>
  </si>
  <si>
    <t>školení  / konference</t>
  </si>
  <si>
    <t>EO</t>
  </si>
  <si>
    <t>školení - nutnost odborného rozvoje v příslušných agendách</t>
  </si>
  <si>
    <t>IT vybavení - nový notebook</t>
  </si>
  <si>
    <t>zastaralost počítače</t>
  </si>
  <si>
    <t>Marcela Menšíková</t>
  </si>
  <si>
    <t>doporučení IT výměna NTB z důvodu zastaralosti</t>
  </si>
  <si>
    <t>základní požadavek (dle roku 2025)</t>
  </si>
  <si>
    <t>kancelářské potřeby</t>
  </si>
  <si>
    <t>běžné kancelářské potřeby na daný rok</t>
  </si>
  <si>
    <t xml:space="preserve">Základní </t>
  </si>
  <si>
    <t>radim.langer@avu.cz</t>
  </si>
  <si>
    <t>Praktické dovednosti Kresba</t>
  </si>
  <si>
    <t>Zajištění chodu přípravky/ předmět PDK /KR</t>
  </si>
  <si>
    <t>MgA. Radim Langer,PhD.</t>
  </si>
  <si>
    <t xml:space="preserve">ostatní </t>
  </si>
  <si>
    <t>výměna mobiliáře- dřevěné desky/nákup vrstvených překližek(topol)</t>
  </si>
  <si>
    <t xml:space="preserve">praktické a bezpečnostní důvody </t>
  </si>
  <si>
    <t>MgA. Radim Langer, PhD.</t>
  </si>
  <si>
    <t>V roce 2026 postačí výměna 12 kusů a v roce 2027 dojde k výměně dalších 12 kusů desek</t>
  </si>
  <si>
    <t>psycholog@avu.cz</t>
  </si>
  <si>
    <t>Psychologické pracoviště</t>
  </si>
  <si>
    <t>supervize, školení</t>
  </si>
  <si>
    <t>viz popis</t>
  </si>
  <si>
    <t>Helena Nosková</t>
  </si>
  <si>
    <t>Pro psychologické pracoviště postavuje běžný roční rozpočet 35000,- Kč, který je převážně využit na supervize nebo účast na potřebných školeních.</t>
  </si>
  <si>
    <t>vlasta.elmerova@avu.cz</t>
  </si>
  <si>
    <t>Zajištuje základní chod dílny</t>
  </si>
  <si>
    <t xml:space="preserve">V dílne je potřeba dokupovat potřeby, které zajištují chod dílny </t>
  </si>
  <si>
    <t>42.000,-</t>
  </si>
  <si>
    <t>Vlasta Elmerová</t>
  </si>
  <si>
    <t>Je potřebný pro obnovu, keramických plátu, proložek, šamotových cihel a atd..</t>
  </si>
  <si>
    <t>Mzda pro obsluhu keramické dílny</t>
  </si>
  <si>
    <t>O chod keramické dílny se dlouhodobě stará Tereza Šramková, nedaří se mi pro ni zařídit částečný uvázek, prozatimně je nedostatečně (nelegálně) vyplácená formou stipendia na jiného studujícího</t>
  </si>
  <si>
    <t>10.000,-</t>
  </si>
  <si>
    <t>Tereza Šrámková/ příkazní smlouva</t>
  </si>
  <si>
    <t>Tereza Šramková, zodpovědně již několik let pracuje pro keramickou dílnu, organizuje výpaly, nakládá i vykladá pece, spravuje komunikační facebookovou skupinu apod..</t>
  </si>
  <si>
    <t>Mimořádný</t>
  </si>
  <si>
    <t>Vypracování projektu, na stavební úpravu nutnou pro kolaudaci keramické dílny</t>
  </si>
  <si>
    <t>Dílna je zatím vedena jako sklad, což je nevyhovující vzhledem BOZP a PO.</t>
  </si>
  <si>
    <t>dle. Cenové nabídky</t>
  </si>
  <si>
    <t>Potřebovala bych pomocí manažerky stavby nebo technického oddělení najít projektanta znalého nutných předpisů pro provoz keramické dílny</t>
  </si>
  <si>
    <t>Zajištuje bězný chod dílny- prosím o navýšení</t>
  </si>
  <si>
    <t>Z důvodu dloudobého pod financování</t>
  </si>
  <si>
    <t>54.000,-</t>
  </si>
  <si>
    <t>Vojtěch Trocha, Ruslan Vysokikh</t>
  </si>
  <si>
    <t>Základní rozpočet zajištující chod dílny určení např: armovací materiál, separace forem, chemie (ředidla, líh, šelak apod.)</t>
  </si>
  <si>
    <t>Na výuku v dílně pro 48 studujících</t>
  </si>
  <si>
    <t>Navýšení z důvodu zvýšení počtu studujícík v anglickém jazyce- samostatní kurz pro AiC</t>
  </si>
  <si>
    <t>45.000,-</t>
  </si>
  <si>
    <t>Rozpočet na nákup materiálu určeného pro výuku.</t>
  </si>
  <si>
    <t>Mimořádní</t>
  </si>
  <si>
    <t>OOPP</t>
  </si>
  <si>
    <t>Nutný nákup OOPP pro dílenské pracovníky</t>
  </si>
  <si>
    <t>7.900</t>
  </si>
  <si>
    <t>OOPP  dle aktuální tabulky:Finanční limity jednotlivých druhů OOPP. Určeno pro rok 2026/2027.</t>
  </si>
  <si>
    <t>Zajištuje bězný chod dílny- prosím o navýšení o 10%</t>
  </si>
  <si>
    <t>Výrazný cenový růst bežného materiálu: brusiva, svářecí plyny a chemie (ředidla, barvy)</t>
  </si>
  <si>
    <t>105.600,-</t>
  </si>
  <si>
    <t>Martin Neduha, Luděk Sedlář</t>
  </si>
  <si>
    <t xml:space="preserve">Základní rozpočet je potřebný pro chod dílny např.: pravidelný servis, ostření pilových pásů, nutný spotřební materiál. </t>
  </si>
  <si>
    <t>7.900,-</t>
  </si>
  <si>
    <t>Nutný nákup OOPP pro studující/pracovní kombinéza, ochrannné brýle, rukavice</t>
  </si>
  <si>
    <t>1.500,-</t>
  </si>
  <si>
    <t>OOPP  Určeno pro rok 2026</t>
  </si>
  <si>
    <t>Spojovací materiál</t>
  </si>
  <si>
    <t>Spojovací materiál, nutný nákup vetšího množství/ se slevou od končící firmy Hutník</t>
  </si>
  <si>
    <t>30.000,-</t>
  </si>
  <si>
    <t>Spojovací materiál je využívám všemi studujícími a nelze zpoplatnit studujícím. Musíme mít celou škálu různých a specifických spojovacích materiálů.</t>
  </si>
  <si>
    <t xml:space="preserve">Svářecí kurz </t>
  </si>
  <si>
    <t>Za účelem zbudování svářecí školy pro studující</t>
  </si>
  <si>
    <t>26.500,-</t>
  </si>
  <si>
    <t>Martin Neduha</t>
  </si>
  <si>
    <t>Pracovník dílny musí absolvovat 2rozšířené  kurzy svařování (1 kurz už má) po 2 letech praxe, bude absolvovat kurz instruktora sváření</t>
  </si>
  <si>
    <t>Elektrifikace dílny</t>
  </si>
  <si>
    <t>Nutná v období Červenec, Srpen, Září)</t>
  </si>
  <si>
    <t>viz. email</t>
  </si>
  <si>
    <t>Vedoucí dílen</t>
  </si>
  <si>
    <t>Na financování napříč všech řemeslných dílen, sdílené dílny HUB , lakovny a půjčovny nářadí</t>
  </si>
  <si>
    <t>Jedná se o nutný finance, které pomáhají financovat ruzné úkony napříč veškerých řemeslných dílen na h.b. AVU, sdílené dílny HUB a půjčovny nářadí.</t>
  </si>
  <si>
    <t>80.000,-</t>
  </si>
  <si>
    <t>VlastaElmerová</t>
  </si>
  <si>
    <t>Pro chod půjčovny: brusný materiál, servis nářadí, včetně nákupu nového nářadí a vybavení. Vyplácení stipendií na různé práce naskrz dílenských pracovišt. Drobné nákupy pro realizaci klauzurních a diplomových prací.</t>
  </si>
  <si>
    <t>Společně s digilabem</t>
  </si>
  <si>
    <t>Jak bude řešeno admistrace technika.avu?</t>
  </si>
  <si>
    <t>?</t>
  </si>
  <si>
    <t>Z IT oddělení odešel Josef Támok náš dosavadní programátor a správce administrace</t>
  </si>
  <si>
    <t>Nová podlaha pro lakovací box</t>
  </si>
  <si>
    <t>Podlaha je porézní a nedá se udržovat bezprašnost</t>
  </si>
  <si>
    <t>odhadovaná cena 50.000,-</t>
  </si>
  <si>
    <t>Již je strojně obroušen povrch, nyní je potřeba vytmelit nanést epoxidovou barvu. Vhodný čas pro realizaci letní prázdniny 2026.</t>
  </si>
  <si>
    <t>Výrazný cenový růst bežného materiálu: brusiva, spojovací materiál a chemie (ředidla, barvy a lepidla)</t>
  </si>
  <si>
    <t>85.800,-</t>
  </si>
  <si>
    <t>Radek Jankovský, Pavel Šára</t>
  </si>
  <si>
    <t>adam.pokorny@avu.cz</t>
  </si>
  <si>
    <t>Atel. restaurování malíř. děl a polychrom. plastik</t>
  </si>
  <si>
    <t>provoz rest. ateliéru</t>
  </si>
  <si>
    <t>provoz ateliéru</t>
  </si>
  <si>
    <t>Theodora Popova/Denisa Cirmaciová</t>
  </si>
  <si>
    <t>materiál: štětce, špachtle, chemikálie, rest. materiály, japonský papír, vápno, plátna, pojiva, pigmenty, plátkové zlato a stříbro, hedvábný papír, filtrační papír, netkaná textilie- nad rámec obvykle kalk. rozpočtu</t>
  </si>
  <si>
    <t>drobný hmotný majetek: UV svítilny, VIS svítilny, PH testery, airbrush,horkovzdušná pera</t>
  </si>
  <si>
    <t>stepanka.kuckova@avu.cz</t>
  </si>
  <si>
    <t>výzkum. činnost</t>
  </si>
  <si>
    <t>výzkum. Činnost</t>
  </si>
  <si>
    <t>Štěpánka Kučková</t>
  </si>
  <si>
    <t>počítač s procesorem - 8 core a více , paměť - 32GB, NVME SSD - 1TB , monitor</t>
  </si>
  <si>
    <t>černobílá laserová tiskárna</t>
  </si>
  <si>
    <t>tereza.jurczykova@avu.cz</t>
  </si>
  <si>
    <t>provoz laboratoře</t>
  </si>
  <si>
    <t>výuka</t>
  </si>
  <si>
    <t>Tereza Jurczyková</t>
  </si>
  <si>
    <t>kvalitní židle pro práci s mikroskopem</t>
  </si>
  <si>
    <t>odb. knihovna</t>
  </si>
  <si>
    <t>Adam Pokorný</t>
  </si>
  <si>
    <t>nákup odborné literatury v oboru restaurování</t>
  </si>
  <si>
    <t>kvalitní tisk restaurátorských zpráv studentů</t>
  </si>
  <si>
    <t>dodání výsledků analýz</t>
  </si>
  <si>
    <t>provedení analýz vzorků analytickými metodami (FTIR spektrometrie, rtg mikroanalýza - externí dodavatel - VŠ,předplacené služby</t>
  </si>
  <si>
    <t>práce s XRF</t>
  </si>
  <si>
    <t>demontáž a transport XRF pro 3 osoby, pro účel převozu přístroje do terénu</t>
  </si>
  <si>
    <t>práce s přenosným XRF</t>
  </si>
  <si>
    <t xml:space="preserve">Xrf profylaxe, kalibrace přenosného Delta xrf </t>
  </si>
  <si>
    <t xml:space="preserve">IT </t>
  </si>
  <si>
    <t>david.hrabalek @avu.cz</t>
  </si>
  <si>
    <t>ateliérová výuka</t>
  </si>
  <si>
    <t>práce s grafickými programy</t>
  </si>
  <si>
    <t>David Hrabálek</t>
  </si>
  <si>
    <t xml:space="preserve">Licence Adobe Master Collection </t>
  </si>
  <si>
    <t>BOZP</t>
  </si>
  <si>
    <t xml:space="preserve">školení práce ve výškách pro celý ateliér </t>
  </si>
  <si>
    <t xml:space="preserve">Ostatní </t>
  </si>
  <si>
    <t>denisa.cirmaciova@avu.cz</t>
  </si>
  <si>
    <t xml:space="preserve">výuka </t>
  </si>
  <si>
    <t>malba podle modelu</t>
  </si>
  <si>
    <t>Denisa Cirmaciová</t>
  </si>
  <si>
    <t xml:space="preserve">modely pro ateliérovou výuku (akt, portrét), nad rámec zákl. rozpočtu - formou DPP </t>
  </si>
  <si>
    <t>theodora.popova@avu.cz</t>
  </si>
  <si>
    <t>restaurování -výuka</t>
  </si>
  <si>
    <t>Theodora Popova</t>
  </si>
  <si>
    <t>Vypínací stavitelný rám je nástroj, jenž je součástí základního vybavení RESTM. Jeho použití je zásadní při vyrovnávání zdeformovaných plátěných podložek</t>
  </si>
  <si>
    <t>výuka - nástěnná malba</t>
  </si>
  <si>
    <t>Lešení pro restaurátorské práce na nástěnných malbách</t>
  </si>
  <si>
    <t>průzkumy obrazů</t>
  </si>
  <si>
    <t>Stativ ke kamerám Osiris a Apollo pro kvalitní skenování, bezpečnost při práci s nákladnou technikou, STATIV</t>
  </si>
  <si>
    <t>vědec. Činnost</t>
  </si>
  <si>
    <t xml:space="preserve">práce s grafikou </t>
  </si>
  <si>
    <t>velkokapacitní úložiště dat</t>
  </si>
  <si>
    <t>dunja.stevanovic@avu.cz</t>
  </si>
  <si>
    <t xml:space="preserve">RMUD - ZUŠ </t>
  </si>
  <si>
    <t>modely</t>
  </si>
  <si>
    <t>1.ročník - Ateliérová výuka I.1  - praktické dovednosti (malba) ZS</t>
  </si>
  <si>
    <t>130Kč/h portrét</t>
  </si>
  <si>
    <t>240h</t>
  </si>
  <si>
    <t>MgA. et Bc A.  Ondřej Basjuk, Dunja Stevanovć</t>
  </si>
  <si>
    <t>1.ročník - Ateliérová výuka I.2  - praktické dovednosti (socha)) LS</t>
  </si>
  <si>
    <t>180 Kč/h figura</t>
  </si>
  <si>
    <t>akad. soch. Marie Šeborová, Dunja Stevanovć</t>
  </si>
  <si>
    <t>43 200 kč</t>
  </si>
  <si>
    <t>1.ročník Praktické dovednosti - kresba pro restaurátory I.  (LS/ZS)</t>
  </si>
  <si>
    <t>144h?</t>
  </si>
  <si>
    <t>MgA. Radim Langer, PhD.Dunja Stevanovć</t>
  </si>
  <si>
    <t>aproksimace : 25 920 -Kč</t>
  </si>
  <si>
    <t>2.ročník Praktické dovednosti - kresba pro restaurátory II.  (LS/ZS)</t>
  </si>
  <si>
    <t>RMUD</t>
  </si>
  <si>
    <t>Materíal</t>
  </si>
  <si>
    <t>Materíalove vybavení pro: Ateliérová výuka II.1, II.2</t>
  </si>
  <si>
    <t>1000 Kč/ks</t>
  </si>
  <si>
    <t>5ks</t>
  </si>
  <si>
    <t>Dunja Stevanovć / Adam Velíšek</t>
  </si>
  <si>
    <t>OBO® Obomodulan  400/700 - 1500 x 500 x 50 mm -5ks - ,</t>
  </si>
  <si>
    <t>https://skolil.cz/materialy-pro-vyrobu-forem-modelu-pripravku</t>
  </si>
  <si>
    <t>cena: 1ks 1754kč</t>
  </si>
  <si>
    <t>2ks</t>
  </si>
  <si>
    <t xml:space="preserve">  Araldit 2010 - 2ks,</t>
  </si>
  <si>
    <t>1ks</t>
  </si>
  <si>
    <t>Araldite ARADUR HY 2919-1 25 kg ,</t>
  </si>
  <si>
    <t>odhad ceny 3000Kč</t>
  </si>
  <si>
    <t xml:space="preserve">Araldite2022 400ml, Houževnaté dvoukomponentní lepidlo na bázy metakrylátu.  </t>
  </si>
  <si>
    <t>odhad ceny 2000 Kč</t>
  </si>
  <si>
    <t xml:space="preserve">SAF 150 - 50ml, Lepidlo na bázi metylmetakrilátu pro lepení špatně lepitelných plastů jako je PP a POM. </t>
  </si>
  <si>
    <t>http://www.lepidla-eshop.cz/k165-dle-vyrobce-aec-polymers</t>
  </si>
  <si>
    <t xml:space="preserve">LC BOND je dvousložkové rychletvrdnoucí tixotropní polyuretanové lepidlo určené k lepení plastů. </t>
  </si>
  <si>
    <t>LC BOND 09 200g</t>
  </si>
  <si>
    <t xml:space="preserve">Belzona 2111 (D&amp;A Hi-Build Elastomer ) - 0,5 kg, Materiály pro renovaci a opravu gum, guomových povrchů a povlakování gumou. </t>
  </si>
  <si>
    <t>Belzona 2111 (D&amp;A Hi-Build Elastomer ) - 0,5 kg</t>
  </si>
  <si>
    <t xml:space="preserve">Belzona 2121 (D&amp;A Hi-Coat Elastomer) - 0,5 kg </t>
  </si>
  <si>
    <t>http://www.lepidla-eshop.cz/z5-belzona-2121-d-a-hi-coat-elastomer-0-5-kg</t>
  </si>
  <si>
    <t xml:space="preserve">LC BOND 03 200g, LC BOND je dvousložkové rychletvrdnoucí tixotropní polyuretanové lepidlo určené k lepení plastů </t>
  </si>
  <si>
    <t>http://www.lepidla-eshop.cz/k202-dle-vyrobce-lc</t>
  </si>
  <si>
    <t>odhad ceny 10000 Kč</t>
  </si>
  <si>
    <t>Dvousložkové silikonové materiály - silikony, katalizatory, tixotropy, pigmentové pasty</t>
  </si>
  <si>
    <t>https://www.lucebni.cz/cs/52-silikonove-kaucuky-?p=2</t>
  </si>
  <si>
    <t>odhad ceny 8000 Kč</t>
  </si>
  <si>
    <t>Gravicol 2397 TC - elastický tmel pro dynamicky namáhané spoje, Gravicol 2428 TC - standardní lepící tmel Gravicol 2039 TC - standardní lepicí tmel, Gravicol D07 TC - lepicí tmel s nízkou hustotou</t>
  </si>
  <si>
    <t>https://skolil.cz/lepidla/lepeni-polyesterovych-kompozitu</t>
  </si>
  <si>
    <t>odhad ceny 600 Kč</t>
  </si>
  <si>
    <t>Portlandsky cement EN-197-1 -CEM, balení: 25kg</t>
  </si>
  <si>
    <t>https://www.re-art.cz/bily-cement/</t>
  </si>
  <si>
    <t>odhad ceny Kč</t>
  </si>
  <si>
    <t xml:space="preserve">Modelářská pasta Araldit ® RenPaste®SV 06 + Ren HV 06 </t>
  </si>
  <si>
    <t>https://skolil.cz/art/31-acrystal-levny-material-s-tvrdym-povrchem/acrystal/127-sv36-hv-36</t>
  </si>
  <si>
    <t>sadra, alabastrova - 40kg</t>
  </si>
  <si>
    <t>https://www.re-art.cz/alabastrova-sadra/</t>
  </si>
  <si>
    <t xml:space="preserve">hlina, sochařska, balík 10kg  </t>
  </si>
  <si>
    <t>https://www.re-art.cz/socharska-hlina/</t>
  </si>
  <si>
    <t>drobne nařady - špachtle, modelirky,škrabky, rašpy, silikonovy misky,modelovací stěrky a další spotrebny material</t>
  </si>
  <si>
    <t>https://www.re-art.cz/skrabka-spachtle--italska/</t>
  </si>
  <si>
    <t>Acrystal, Prima/optima, obě složky, a tixotrop</t>
  </si>
  <si>
    <t>https://skolil.cz/art/31-acrystal-levny-material-s-tvrdym-povrchem/acrystal/126-acrystal-#:~:text=Charakteristika%20Acrystalu:%20*%20netoxick%C3%BD%20*%20univerz%C3%A1ln%C3%AD(lit%C3%AD%2Claminov%C3%A1n%C3%AD)%20*,snadno%20obrobiteln%C3%A9%20*%20omyvateln%C3%BD%20a%20%C5%99editeln%C3%BD%20vodou.</t>
  </si>
  <si>
    <t>1 baleny</t>
  </si>
  <si>
    <t>Sochařská plastelína - 5kg</t>
  </si>
  <si>
    <t>https://www.re-art.cz/plastelina--bila/</t>
  </si>
  <si>
    <t>polyuretanová pěna na odlevaní, Flexifoam - it serie /Foam it /soma foama/ urecoat</t>
  </si>
  <si>
    <t>https://www.silikonysro.cz/lici-peny</t>
  </si>
  <si>
    <t>odhad ceny 5000Kč</t>
  </si>
  <si>
    <t>Separátory pro epoxidy a polyuretany - dle výběru vyučujiciho</t>
  </si>
  <si>
    <t>https://skolil.cz/separatory</t>
  </si>
  <si>
    <t>Barvy/pigmenty/barvitka/ mořidla - KREMER</t>
  </si>
  <si>
    <t xml:space="preserve">Rozpouštedla - zakladní - tech. líh, tech. benzyn, isopropanol, aceton, terpentin, ethanol, </t>
  </si>
  <si>
    <t>https://www.p-lab.cz/laboratorni-chemikalie</t>
  </si>
  <si>
    <t>Pracovní pomucky pro studenty, BOZP Praxe I,II,  Ateliérová výuka II.1, II.2</t>
  </si>
  <si>
    <t>852,64 Kč / ks</t>
  </si>
  <si>
    <t>10 lidy -10 ks</t>
  </si>
  <si>
    <t xml:space="preserve">Polomasky pro studenty a vyučujici, ruzne velikost: 7503 LARGE /MEDIUM /SMALL - 3M filtrační polomaska pro dva ochranné filtry extrémního prostředí, </t>
  </si>
  <si>
    <t>https://www.3market.cz/7502-medium-3m-filtracni-polomaska-pro-dva-ochranne-filtry-extremniho-prostredi--stredni-velikost/</t>
  </si>
  <si>
    <t>Pracovní pomucky pro studenty, BOZP Praxe I,,II Ateliérová výuka II.1, II.2</t>
  </si>
  <si>
    <t>166,17 Kč  / balení</t>
  </si>
  <si>
    <t>10 lidy - 20ks</t>
  </si>
  <si>
    <t xml:space="preserve">filtry pro studenty a vyučujici, 6059 filtr ABEK1 k maskám řady 6000 proti organickým, anorganickým a kyselým parám, cena za ks/ 166,17 Kč  </t>
  </si>
  <si>
    <t>https://www.3market.cz/6059-filtr-abek1-k-maskam-rady-6000-proti-organickym--anorganickym-a-kyselym-param--cena-za-ks/?gad_source=1&amp;gad_campaignid=18353489461&amp;gbraid=0AAAAAC_t9hAKtvJQsODpWZKSjzumrOglf&amp;gclid=Cj0KCQiAm9fLBhCQARIsAJoNOcuFdea5Hp1uUKeoYPv9tugTFBri_WBfDUCXUIFVq2ZwzKspcMTOeXgaAvCWEALw_wcB</t>
  </si>
  <si>
    <t>Pracovní pomucky pro studenty, BOZP Praxe I,II, Ateliérová výuka II.1, II.2</t>
  </si>
  <si>
    <t>360 Kč / balení</t>
  </si>
  <si>
    <t>5 balení</t>
  </si>
  <si>
    <t>rukavice - nitrilove, jednorazove, ruznich velikosti, tlouštka -3.0g</t>
  </si>
  <si>
    <t>https://www.vulkanmedical.cz/jednorazove-rukavice/nitrilove-rukavice/jednorazove-rukavice-nitrilove-bezprasne-modre-prodlouzene-m-752150760</t>
  </si>
  <si>
    <t>2.360,- Kč / balení</t>
  </si>
  <si>
    <t>1 balení</t>
  </si>
  <si>
    <t>rukavice - nitrilove, jednorazove, 1 balení - 1000ks, ruznich velikosti, tlouštka -4.0g</t>
  </si>
  <si>
    <t>Nitrilové jednorázové rukavice SAFE LIGHT</t>
  </si>
  <si>
    <t xml:space="preserve">Laboratoře chemie - BOZP, zákl. orientace v laboratoři, roztoky,  zahřívání a destilace, výroba vybraných pigmentů </t>
  </si>
  <si>
    <t>interně? Anebo externě: 16800,-Kč /LS</t>
  </si>
  <si>
    <t>Dunja Stevanovć</t>
  </si>
  <si>
    <t>vyučovány předměty  VŠCHT</t>
  </si>
  <si>
    <t>smlouva VŠCHT</t>
  </si>
  <si>
    <t>71817 Kč- ročník</t>
  </si>
  <si>
    <t>platba by měla proběhnout před květnem 2026. Ale v r. 2025 výuka volitelných předmětů se s p. Ďurovičem pro nedostatek kapacity nepovedla dohodnout, do budoucna bude muset ale probíhat, studenti už mají povinně</t>
  </si>
  <si>
    <t>volitelny předmeti: časova dotace</t>
  </si>
  <si>
    <t>licence k počítačům -ADOBE? Photoshop?</t>
  </si>
  <si>
    <t xml:space="preserve">IT - </t>
  </si>
  <si>
    <t>Počitač pro studenty (pro zpracovavani zprav z praxe)</t>
  </si>
  <si>
    <t>mam rozepsat komponenty, anebo nam IT poradí?</t>
  </si>
  <si>
    <t>marketa.dolejsova@avu.cz</t>
  </si>
  <si>
    <t>Editorské práce, korektury,  předklady</t>
  </si>
  <si>
    <t>Komunikační materiály a PR texty (web + sociální sítě + příp. tisk) k doktorandským událostem (Kolokvium, Symposium, Výzkumné skupiny, PhD obhajoby Kvalifikační zkoušky a další)</t>
  </si>
  <si>
    <t>3 000 - 8 000kč (dle rozsahu)</t>
  </si>
  <si>
    <t xml:space="preserve">cca  6-10  </t>
  </si>
  <si>
    <t>Markéta Dolejšová</t>
  </si>
  <si>
    <t>škola</t>
  </si>
  <si>
    <t>Honoráře (komise PhD obhajoby a Kvalifikační zkoušky,  přijímačky, panelisté kolokvium,  hoste atd.)</t>
  </si>
  <si>
    <t>2000-4000kč (dle typu komise)</t>
  </si>
  <si>
    <t>v roce 2026 očekávámé 20-25 komisí (3-6 členů / komise)</t>
  </si>
  <si>
    <t>Oponenti disertačních prací</t>
  </si>
  <si>
    <t>4000kč</t>
  </si>
  <si>
    <t>očekávámé 10-15 obhajob, tj.  20-30 oponentů (2 na disertaci)</t>
  </si>
  <si>
    <t xml:space="preserve">Členství v radách: Oborové rady (interní čl. odměny ke mzdě + externí čl. DPP/DPČ) </t>
  </si>
  <si>
    <t>8000kč člen / rok (5 schůzí ročně + příprava)</t>
  </si>
  <si>
    <t xml:space="preserve">5 externích členů </t>
  </si>
  <si>
    <t>Odměny konzultanti PhD prací</t>
  </si>
  <si>
    <t>9000kč/semestr</t>
  </si>
  <si>
    <t>25-33 studujícíh (dle počtu absolventů v LS25/26 a nově přijatých v ZS26/27)</t>
  </si>
  <si>
    <t xml:space="preserve">Odměny školitelé </t>
  </si>
  <si>
    <t xml:space="preserve">5-20 000 kč dle ročníku zakončení </t>
  </si>
  <si>
    <t>očekáváme 10-15 obhájených disertací; tj. odměn školitelům</t>
  </si>
  <si>
    <t>Aktivity výzkumných skupin</t>
  </si>
  <si>
    <t>Podpora pro aktivity spojené s RUV / RIV výstupem; veřejné události výzkumných skupin; odměny zapojeným</t>
  </si>
  <si>
    <t>dle typu akce (např. konference, článek, workshop, výstava + příspěvek na cestovné a ubytování)</t>
  </si>
  <si>
    <t>7 výzkumných skupin</t>
  </si>
  <si>
    <t>PPSŘ</t>
  </si>
  <si>
    <t>Technická podpora u Doktorandského kolokvia, Sympozia, PhD obhajob, Kvalifikačních zkoušek, PhD přijímaček</t>
  </si>
  <si>
    <t xml:space="preserve">technické zajištění chodu prezentací a případného online připojení (např. zahraniční PhD oponenti), úklid místností, někdy nutná ostraha + brigádníci / odměny </t>
  </si>
  <si>
    <t>cca 5000kč / událost</t>
  </si>
  <si>
    <t>7 událostí</t>
  </si>
  <si>
    <t>škola + částečně PPSŘ</t>
  </si>
  <si>
    <t>Cestovné, ubytování a fees na akademické konference, workshopy a symposia</t>
  </si>
  <si>
    <t>Týká se konferenčních výjezdů doktorandů a výzkumníků z oddělení doktorského výzkumu</t>
  </si>
  <si>
    <t>5 000 - 30 000 kč (dle místa konání a délky pobytu)</t>
  </si>
  <si>
    <t>5-10 / rok</t>
  </si>
  <si>
    <t>lze platit z PPSŘ nebo DKRVO, příp. Erasmus+</t>
  </si>
  <si>
    <t>Cestovné, ubytování a stravné PhD výjezd</t>
  </si>
  <si>
    <t>1 x za rok výjezd pro 30-50 lidí (PhD studující, školitelé, vedoucí ODV, koordinátorka ODV, prorektorát pro int. a výzkum, referentka SO)</t>
  </si>
  <si>
    <t>(dle lokace)</t>
  </si>
  <si>
    <t>30-50 lidí / 2-3 noci v ČR / rok</t>
  </si>
  <si>
    <t>lze platit z VGS (TBC)</t>
  </si>
  <si>
    <t>provozní náklady:  kancelářské potřeby (papír, tonery), základní instalační potřeby na veřejné události, tisk plakátů, ostatní</t>
  </si>
  <si>
    <t>12 000 kč / rok</t>
  </si>
  <si>
    <t>nákup literatury</t>
  </si>
  <si>
    <t>10 000 kč / rok</t>
  </si>
  <si>
    <t>lze platit z PPSŘ nebo DKRVO</t>
  </si>
  <si>
    <t>průvodce studiem pro PhD</t>
  </si>
  <si>
    <t>tvorba onboarding materiálu pro nové i stávající PhD studující: práce se studujícími, tvorba layoutu, aktualizace na webu, editorské a korektorské práce, překlad, tisk</t>
  </si>
  <si>
    <t>30 000 kč / rok</t>
  </si>
  <si>
    <t>1 průvodce</t>
  </si>
  <si>
    <t>škola + částečně jiné zdroje</t>
  </si>
  <si>
    <t>letní školy, školení a semináře pro školitele</t>
  </si>
  <si>
    <t>organizace seminářů a letních škol pro studujíci, vyučující, školitele</t>
  </si>
  <si>
    <t>60 000 kč / rok</t>
  </si>
  <si>
    <t>PPSŘ nebo DKRVO</t>
  </si>
  <si>
    <t xml:space="preserve">zakoupné licence se obnovují 1xročně </t>
  </si>
  <si>
    <t>provozní náklady: software adobe cc, anthropic, openai, Zoom licence  a další</t>
  </si>
  <si>
    <t>40 000 - 50 000 kč / rok</t>
  </si>
  <si>
    <t>škola + částečně PPSŘ / jiné zdroje</t>
  </si>
  <si>
    <t>školení granty: Evropské granty, Norské fondy, GAČR, TAČR, ostatní</t>
  </si>
  <si>
    <t xml:space="preserve">3000 - 5000 kč / účastník </t>
  </si>
  <si>
    <t>10-12 účastníků (ODV + studující)</t>
  </si>
  <si>
    <t>Konzultace grantových žádosti s experty</t>
  </si>
  <si>
    <t>10 000 - 20 000 kč (dle typu a rozsahu grantové žádosti, od menších po evropské)</t>
  </si>
  <si>
    <t>4-5 žádostí</t>
  </si>
  <si>
    <t>jana.dolezalova@avu.cz</t>
  </si>
  <si>
    <t>Digilab</t>
  </si>
  <si>
    <t>Vzdělání</t>
  </si>
  <si>
    <t>povinně volitelný předmět</t>
  </si>
  <si>
    <t>Jana Doležalová</t>
  </si>
  <si>
    <r>
      <t xml:space="preserve">Kurz:  3D Grafika I (externí lektor) </t>
    </r>
    <r>
      <rPr>
        <sz val="10"/>
        <color rgb="FFFF0000"/>
        <rFont val="Aptos Narrow"/>
        <family val="2"/>
      </rPr>
      <t>*</t>
    </r>
  </si>
  <si>
    <r>
      <t xml:space="preserve">Kurz: Produkce a postprodukce zvuku I (externí lektor) </t>
    </r>
    <r>
      <rPr>
        <sz val="10"/>
        <color rgb="FFFF0000"/>
        <rFont val="Aptos Narrow"/>
        <family val="2"/>
      </rPr>
      <t>*</t>
    </r>
  </si>
  <si>
    <r>
      <t xml:space="preserve">Kurz: AI Creative Coding (externí lektor) </t>
    </r>
    <r>
      <rPr>
        <sz val="10"/>
        <color rgb="FFFF0000"/>
        <rFont val="Aptos Narrow"/>
        <family val="2"/>
      </rPr>
      <t>*</t>
    </r>
  </si>
  <si>
    <r>
      <t xml:space="preserve">Kurz: Produkce a postprodukce zvuku II (externí lektor) </t>
    </r>
    <r>
      <rPr>
        <sz val="10"/>
        <color rgb="FFFF0000"/>
        <rFont val="Aptos Narrow"/>
        <family val="2"/>
      </rPr>
      <t>*</t>
    </r>
  </si>
  <si>
    <r>
      <t xml:space="preserve">Kurz: 3D Grafika II (externí lektor) </t>
    </r>
    <r>
      <rPr>
        <sz val="10"/>
        <color rgb="FFFF0000"/>
        <rFont val="Aptos Narrow"/>
        <family val="2"/>
      </rPr>
      <t>*</t>
    </r>
  </si>
  <si>
    <r>
      <t xml:space="preserve">Kurz: 3D Grafika III (externí lektor) </t>
    </r>
    <r>
      <rPr>
        <sz val="10"/>
        <color rgb="FFFF0000"/>
        <rFont val="Aptos Narrow"/>
        <family val="2"/>
      </rPr>
      <t>*</t>
    </r>
  </si>
  <si>
    <t>prednaska</t>
  </si>
  <si>
    <t>Přednáška k současnému stavu a možnostem AI generování.</t>
  </si>
  <si>
    <t>Tisk</t>
  </si>
  <si>
    <t>pronájem tiskárny + spotřeba</t>
  </si>
  <si>
    <t>Pronájem tiskárny pro tisk v DigiLabu</t>
  </si>
  <si>
    <t xml:space="preserve">provozní výdaje </t>
  </si>
  <si>
    <t>spotřební materiál</t>
  </si>
  <si>
    <t>Údržba, opravy a obnova komponentů AV zápůjční techniky a učebny s PC. Čistící prostředky na monitory a skener. Lepící pásky, kabely, redukce, baterie, lampy do projektorů. Kancelářské potřeby, lékarnička.</t>
  </si>
  <si>
    <t>zápůjční technika</t>
  </si>
  <si>
    <t>kamera není zastoupena ve vybavení DL</t>
  </si>
  <si>
    <t xml:space="preserve">Fotopast </t>
  </si>
  <si>
    <t>náhrada za rozbité (nebo oprava umělohmotného krytu?)</t>
  </si>
  <si>
    <t>Fomei světlo. Zápůjční technika</t>
  </si>
  <si>
    <t>Z/IT</t>
  </si>
  <si>
    <t>Práce v DL, využití při výuce</t>
  </si>
  <si>
    <t>testování, výuka,</t>
  </si>
  <si>
    <r>
      <t xml:space="preserve">Runwai licence Standard (AI generátor obrazu), na 12 měsíců. (Nebo jiná AI). </t>
    </r>
    <r>
      <rPr>
        <i/>
        <sz val="10"/>
        <color rgb="FFE69138"/>
        <rFont val="Arial"/>
        <family val="2"/>
      </rPr>
      <t>Licence spravuje ITO - patří pod jejich rozpočet (zde jen požadavek).</t>
    </r>
  </si>
  <si>
    <t>Licence Adobe pro tech. asistentku</t>
  </si>
  <si>
    <t>editace nahrávaných programů AVU</t>
  </si>
  <si>
    <t>Polina Revunenko</t>
  </si>
  <si>
    <r>
      <t>Licence na jméno - Adobe CC (obnova každý rok).</t>
    </r>
    <r>
      <rPr>
        <sz val="10"/>
        <color rgb="FFE69138"/>
        <rFont val="Arial"/>
        <family val="2"/>
      </rPr>
      <t xml:space="preserve"> </t>
    </r>
    <r>
      <rPr>
        <i/>
        <sz val="10"/>
        <color rgb="FFE69138"/>
        <rFont val="Arial"/>
        <family val="2"/>
      </rPr>
      <t>Licence spravuje ITO - patří pod jejich rozpočet (zde jen požadavek).</t>
    </r>
  </si>
  <si>
    <t>pracovních NB</t>
  </si>
  <si>
    <t>pracovní NB pro technickou asistentku DigiLabu</t>
  </si>
  <si>
    <t>Doležalová, Revunenko</t>
  </si>
  <si>
    <t>Mac Book Pro 16"  Parametry: Čip Apple M4 Pro 12jádrové CPU
16jádrové GPU
24 GB jednotné paměti
512GB SSD úložiště¹
16jádrový Neural Engine
14palcový Liquid Retina XDR displej²
Tři porty Thunderbolt 5, port HDMI, slot na kartu SDXC, sluchátkový konektor, port MagSafe 3
Magic Keyboard s Touch ID
Force Touch trackpad
70W USB‑C napájecí adaptér</t>
  </si>
  <si>
    <t>obměna starých pracovních NB (z roku 2019)</t>
  </si>
  <si>
    <t xml:space="preserve">Pracovní NB pro pedagogy DigiLabu </t>
  </si>
  <si>
    <t>Doležalová, Vidlička, Takáč</t>
  </si>
  <si>
    <t>Mac Book Pro 16".  Parametry:  Čip Apple M4 Max, 16jádrové CPU,
40jádrové GPU
48 GB jednotné paměti
1TB SSD úložiště¹
16jádrový Neural Engine
16palcový Liquid Retina XDR displej²
Tři porty Thunderbolt 5, port HDMI, slot na kartu SDXC, sluchátkový konektor, port MagSafe 3
Magic Keyboard s Touch ID
Force Touch trackpad
140W USB‑C napájecí adaptér .Nebo parametry (akualizované podle posledního modelu daného roku. )</t>
  </si>
  <si>
    <t>sarka.krtkova@avu.cz</t>
  </si>
  <si>
    <t>Studijní prorektorát</t>
  </si>
  <si>
    <t>obměna PC</t>
  </si>
  <si>
    <t>pc - je v požadavcích z dříve, je na výměnu, neboť nepodporuje nové windows či outlook</t>
  </si>
  <si>
    <t>licence deepl, Adobe,…</t>
  </si>
  <si>
    <t>drobný kancelářský materiál</t>
  </si>
  <si>
    <t>školení mimo phu, konference, výjezdy vedení, schůzky</t>
  </si>
  <si>
    <t>služební cesty</t>
  </si>
  <si>
    <t>REPRE</t>
  </si>
  <si>
    <t>reprezentace</t>
  </si>
  <si>
    <t>tereza.zamanova@avu.cz</t>
  </si>
  <si>
    <t>stujijní oodělení</t>
  </si>
  <si>
    <t>Musíme sledovat vývoj studijní agendy a rozšiřovat si znalosti, vědomosti a dovednosti. Na oddělení máme dvě nové kolegyně, které se zaučují od května.</t>
  </si>
  <si>
    <t>Tereza Zemanová</t>
  </si>
  <si>
    <t>Školení - účastnické poplatky, služební cesty.</t>
  </si>
  <si>
    <t>ostatní kancelářské služby</t>
  </si>
  <si>
    <t>Pronájem tiskárny, odesílání dopisů do zahraničí uchazečům a studentům Art in Context.</t>
  </si>
  <si>
    <t>Pronájem tiskárny, DHL poštovní služby.</t>
  </si>
  <si>
    <t>kancelářský spotřební materiál</t>
  </si>
  <si>
    <t>Naší kanceláří projde spousta papíru, kancelářských sponek, psacích potřeb apod. Potřebujeme nakupovat i diplomy, desky k diplomům, diploma supplementy, patří sem i opravy stávajícího majetku SO.</t>
  </si>
  <si>
    <t>Kancelářské potřeby, majetek zapsaný na SO, objednávky diplomů.</t>
  </si>
  <si>
    <t>Softwarové licence</t>
  </si>
  <si>
    <t>Např. licence Adobe Acrobat editor, protože nikdo na Studijním oddělení tuto licenci nemá a nutně ji potřebujeme. Předpokládáme, že se může vyskytnout potřeba pro nákup dalších licencí.</t>
  </si>
  <si>
    <t xml:space="preserve">Licence nových softwarových  programů </t>
  </si>
  <si>
    <t>Cestovní náklady</t>
  </si>
  <si>
    <t>Cestovní náklady za školením - na školení jezdíme my mimo Prahu, ale dojíždí za námi i experti z jiných mimopražských univerzit.</t>
  </si>
  <si>
    <t>Cesty na školení.</t>
  </si>
  <si>
    <t>karolina.mikeskovaůavu.cz</t>
  </si>
  <si>
    <t>BD Veletržní</t>
  </si>
  <si>
    <t>zázemí pro kanceláře v 1NP</t>
  </si>
  <si>
    <t>zázemí pro kanceláře je v současném stavu nedostatečné</t>
  </si>
  <si>
    <t>Karolína Mikesková</t>
  </si>
  <si>
    <t>kuchyňka pro kanceláře 1NP Veletržní – stavební úpravy a vybavení</t>
  </si>
  <si>
    <t>zprovoznění suterénu Veletržní</t>
  </si>
  <si>
    <t>rozšíření používatelných prostorů v budově Veleržní</t>
  </si>
  <si>
    <t>doplnění sanitárního a interiérového vybavení suterénu Veletržní</t>
  </si>
  <si>
    <t>zvýšení bezpečnosti BS</t>
  </si>
  <si>
    <t>špatný stávající stav dveří, chybějící protipožární prvky</t>
  </si>
  <si>
    <t>protipožární panikové dveře Bílý sál Veletržní</t>
  </si>
  <si>
    <t>chynějící protipožární prvky, přesunutí dveří do požární chodby a získání skladovacího prostoru</t>
  </si>
  <si>
    <t>protipožární panikové dveře únikové chodby v Bílém sále Veletržní</t>
  </si>
  <si>
    <t>základní vybavení pro zaměstnance</t>
  </si>
  <si>
    <t>Nezbytné vybavení pro výkon práce</t>
  </si>
  <si>
    <t>Ján Gašparovič</t>
  </si>
  <si>
    <t xml:space="preserve">nákup počítače </t>
  </si>
  <si>
    <t>zajištění základního nářadí pro provoz budovy</t>
  </si>
  <si>
    <t>získání vetší autonomity v údžbě budovy, zrychlení oprav a odlehčení technickému oddělení HB</t>
  </si>
  <si>
    <t>nářadí a technické vybavení Veletržní – aku šroubovák, ruční nářadí, vozík na těžká břemena</t>
  </si>
  <si>
    <t xml:space="preserve">zlepšení akustiky v BS </t>
  </si>
  <si>
    <t>rozšíření využití Bílého sálu, současné akustické podmínky jsou nevyhovující a neumožňují akce s použitím zvuku / mluvčích</t>
  </si>
  <si>
    <t>šití akustických závěsů pro Bílý sál</t>
  </si>
  <si>
    <t xml:space="preserve">oprava nefunkčních el. rozvodů </t>
  </si>
  <si>
    <t>oprava nefunkčních el. rozvodů v  suterénu Veletržní</t>
  </si>
  <si>
    <t>současné světelné podmínky jsou nedostatečné a je potřeba vyměnit a doplnit stropní svítidla</t>
  </si>
  <si>
    <t>výměna a doplnění svítidel v suterénu Veletržní</t>
  </si>
  <si>
    <t>oprava nouzových světel</t>
  </si>
  <si>
    <t>nefunkční nouzová svítidla, z důvodu nedostupných baterií je nutné vyměnit nouzová světla za nová</t>
  </si>
  <si>
    <t>oprava a výměna nouzových světel</t>
  </si>
  <si>
    <t>monitorování pohybu osob v budově</t>
  </si>
  <si>
    <t>zvýšení bezpečnosti budovy</t>
  </si>
  <si>
    <t>bezpečnostní kamery Veletržní</t>
  </si>
  <si>
    <t xml:space="preserve">zlepšení pracovního prostředí a akustiky v kanceláři </t>
  </si>
  <si>
    <t>akustika kanceláře je nevyhovující pro konverzaci a hovory, na základě přímé žádosti Grantového oddělení</t>
  </si>
  <si>
    <t>koberec do kanceláře G.O.</t>
  </si>
  <si>
    <t>výměna nefunkčních stojanů na kabáty</t>
  </si>
  <si>
    <t>současné stojany na kabáty jsou nevyhovující a nefukční</t>
  </si>
  <si>
    <t>stojany na kabáty, celkem 3ks</t>
  </si>
  <si>
    <t>nutná sanitace a údržba wc</t>
  </si>
  <si>
    <t>dlouhodobá nevyhovující úroveň hygieny</t>
  </si>
  <si>
    <t>hloubkové čištění wc –tlakové a parní čištění povrchů</t>
  </si>
  <si>
    <t>Peter.kolarcik@avu.cz</t>
  </si>
  <si>
    <t>zprovoznění světel v ČS</t>
  </si>
  <si>
    <t>zajištění vyhovujících podmínek pro školní a kulurní akce</t>
  </si>
  <si>
    <t>Peter Kolárčik</t>
  </si>
  <si>
    <t>příslušenství a isntalace světel v ČS</t>
  </si>
  <si>
    <t>zajištění provozu zkušebny Veletržní</t>
  </si>
  <si>
    <t xml:space="preserve">ve zkušebně chybí základní vybavení pro provoz </t>
  </si>
  <si>
    <t>nákup příslušenství pro zkušebnu Veletržní (kabely, chybějící části pro bicí)</t>
  </si>
  <si>
    <t>vybavení zkušebny AVU</t>
  </si>
  <si>
    <t xml:space="preserve">zkušebna doposud využívala vybavení jednotlivců, které již není k dispozici – rozšíření využití zkušebny </t>
  </si>
  <si>
    <t>kytarové kombo 7000</t>
  </si>
  <si>
    <t>Ozvučení kulturních akcí</t>
  </si>
  <si>
    <t>AVU toto vybavení v souč. době nevlastní a musí si je pronajímat u externích dodavatelů</t>
  </si>
  <si>
    <t>subwoofer</t>
  </si>
  <si>
    <t>jan.gasparovic@avu.cz</t>
  </si>
  <si>
    <t>videoprojekce v suterénu Veletržní</t>
  </si>
  <si>
    <t>rozšíření používatelných prostorů v budově Veleržní (suterén)</t>
  </si>
  <si>
    <t>nákup projektoru, pernamentne osadený v suteréne pre rozšírenie možnosti užívania (menší sál)</t>
  </si>
  <si>
    <t>ozvučenie v suterénu Veletržní</t>
  </si>
  <si>
    <t>permanentné ozvučenie priestoru pre projekcie, prednášky atd. (ADAM Audio T8V SET Aktivní studiový monitor 2 ks)</t>
  </si>
  <si>
    <t>jana.jensovska@avu.cz</t>
  </si>
  <si>
    <t>bezproblémový vstup do budovy</t>
  </si>
  <si>
    <t xml:space="preserve">starý zámek  vč. kování nutné vyměnit </t>
  </si>
  <si>
    <t xml:space="preserve">Jenšovská / Kubín </t>
  </si>
  <si>
    <t xml:space="preserve">oprava zámku u vstupních dveří do hl.b. AVU. </t>
  </si>
  <si>
    <t xml:space="preserve">zajištění chodu vstupních dveří </t>
  </si>
  <si>
    <t xml:space="preserve">zrestaurování vstupních dveří vč. pantů </t>
  </si>
  <si>
    <t>odstranění nápisů, výměna okopového plechu a navoskování dveří z vnitřní i vnější strany zrestaurování  Termín: léto 2026</t>
  </si>
  <si>
    <t xml:space="preserve">kontrola PO </t>
  </si>
  <si>
    <t>oprava všech protipožárních dveří na chodbách</t>
  </si>
  <si>
    <t xml:space="preserve">nutná oprava a revize všech protipožárních dveří na chodbách hl.b. (výměna zástrčí za magnety) </t>
  </si>
  <si>
    <t>andrea.janderova@avu.cz</t>
  </si>
  <si>
    <t>archiv</t>
  </si>
  <si>
    <t>obalový materiál</t>
  </si>
  <si>
    <t>úložné kartony na kresby, grafiky, archiválie odpovídající požadavkům archivního uložení</t>
  </si>
  <si>
    <t>30 000 - 40 000</t>
  </si>
  <si>
    <t>10&lt;100 ks</t>
  </si>
  <si>
    <t>A. Janderová</t>
  </si>
  <si>
    <t>nákup vícerozměrových kartonů na kresby a grafiky, kartonů na archiválie, desek a obalového nekyselého papíru, od kartonu běžného (od 36,50 kus) https://www.archivbox.cz/archivni-krabice-cz-prior-r007 až po speciální např. https://www.archivbox.cz/krabice-buckram-r039 (á 6 525 Kč/karton)</t>
  </si>
  <si>
    <t>úvazek - Grant VVP GAČR</t>
  </si>
  <si>
    <t>nárůst badatelských dotazů a vytížení badatelny archivu v souvislosti s grantem na knihu o AVU *</t>
  </si>
  <si>
    <t>72 000 - 180 000</t>
  </si>
  <si>
    <t>1 osoba</t>
  </si>
  <si>
    <t>minimálně 0,2 úvazek (7 200 Kč /měsíčně), nejlépe 0,5 úvazek (18 000 Kč/měsíčně) od března/dubna 2025</t>
  </si>
  <si>
    <t>brigádník DPP</t>
  </si>
  <si>
    <t xml:space="preserve">výpomoc s inventarizací sbírek a fondů </t>
  </si>
  <si>
    <t>jako každoročně výpomoc s inventarizací sbírek, DPP na cca 4 - 5 měsíců</t>
  </si>
  <si>
    <t>drobné papírenské a drogistické zboží</t>
  </si>
  <si>
    <t>běžné pracovní vybavení kanceláře a kuchyňky</t>
  </si>
  <si>
    <t>papír do tiskárny A4, A3 - školní sklad, euroobaly, tužky, propisky, jar apod.</t>
  </si>
  <si>
    <t>dovybavení příruční knihovny archivu</t>
  </si>
  <si>
    <t>vybavení příruční knihovny podle Archivního zákona 499/2044 Sb. (§ 52 bod k)</t>
  </si>
  <si>
    <t>1&lt;15 ks knih</t>
  </si>
  <si>
    <t>katalogy výstav, monografie doplňující alespoň minimálně knihovnu podle zák. 499/2004 Sb.§ 52 bod k)</t>
  </si>
  <si>
    <t>školení, cestovné (výstavy, školení)</t>
  </si>
  <si>
    <t>požadavek na další vzdělávání archivářů</t>
  </si>
  <si>
    <t>předpokládáme školení na program ELZA, archivní entity či ESSS</t>
  </si>
  <si>
    <t>tomas.dzadon@avu.cz</t>
  </si>
  <si>
    <t>Art in Context</t>
  </si>
  <si>
    <t>zabezpečení programu</t>
  </si>
  <si>
    <t>Tomáš Džadoň</t>
  </si>
  <si>
    <t>materiálová rozpočet, klauzury, výjezd</t>
  </si>
  <si>
    <t>2x workshop hostujícího umělce (akreditovaný předmet Integrovana disciplína)</t>
  </si>
  <si>
    <t>iT</t>
  </si>
  <si>
    <t>původní notebook je z roku 2016 a dosluhuje</t>
  </si>
  <si>
    <t>https://www.alza.cz/macbook-air-13-m4-cz-2025-temne-inkoustovy-d12829201.htm</t>
  </si>
  <si>
    <t>KTDU</t>
  </si>
  <si>
    <t>navýšení mezd pro kmenové pedagožstvo KTDU, které má AVU jako jediného zaměstnavatele</t>
  </si>
  <si>
    <t>inflace 2023-2025</t>
  </si>
  <si>
    <t>Kancelářské potřeby</t>
  </si>
  <si>
    <t>Občerstvení (repre fond) pro státnicové komise</t>
  </si>
  <si>
    <t>Honoráře pro externí členy státnicových komisí</t>
  </si>
  <si>
    <t>dle směrnice o odměnování</t>
  </si>
  <si>
    <t>Honoráře pro externí hosty v přednáškách</t>
  </si>
  <si>
    <t>hosté pozvaní k aktuálním tématům a otázkám výuky nebo dobového dění (Ruská válka, Palestina, ad.)</t>
  </si>
  <si>
    <t>Dohody o provedení práce - externí vyučující (podrobně v separátní tabulce)</t>
  </si>
  <si>
    <t>částka s půpvodní sazbou 400 kč/hod před navýšením (požadavek navýšení na 440-450 Kč/h)</t>
  </si>
  <si>
    <t>Teambuilding, školení, supervize</t>
  </si>
  <si>
    <t>jednou ročně výjezd, na němž je provedeno hodnocení akademického roku, inovace ve studiu a implementace nutných změn v akreditacích</t>
  </si>
  <si>
    <t>Exkurze celoškolní Benátky</t>
  </si>
  <si>
    <t>tradiční vzdělávací návštěva pro pedagozstvo, zamestnanectvo a studijici bienále umění v Benátkách</t>
  </si>
  <si>
    <t>studující, pedagožstvo a zaměstnanci AVU</t>
  </si>
  <si>
    <t xml:space="preserve">autobusový zájezd pro celkem 60 osob, organizuje KTDU, 2 noci v Benátkách. </t>
  </si>
  <si>
    <t xml:space="preserve">Exkurze CR v rámci výuky předmětů </t>
  </si>
  <si>
    <t>návštěva výstav stálých sbírek, výstav, ad. jako součást výuky P a PV předmětů</t>
  </si>
  <si>
    <t>Mikrovlná trouba</t>
  </si>
  <si>
    <t>zaměstnanectvo KTDU</t>
  </si>
  <si>
    <t xml:space="preserve">Interiová uprava KTDU - odhlučnění, studie plus realizace </t>
  </si>
  <si>
    <t xml:space="preserve">oddělení a částečné odhlučnění pracovního prostoru tajemnice a zbylé části kabinetu, která slouží zároveň jako přednášková místnost (zamezení vzájemného rušení se). Bez externistů čítá KTDU 15 osob a má pouze jednu místnost. </t>
  </si>
  <si>
    <t>rektor@avu.cz</t>
  </si>
  <si>
    <t>Rektor</t>
  </si>
  <si>
    <t xml:space="preserve">Základní rozpočet rektora. </t>
  </si>
  <si>
    <t>Markétka ověří, co tam vše bylo účtování, zatím byl nastaven základní 190 000</t>
  </si>
  <si>
    <t>rektorat@avu.cz</t>
  </si>
  <si>
    <t>Rektorát</t>
  </si>
  <si>
    <t xml:space="preserve">Základní rozpočet rektorátu. V roce 2026 je z důvodu organizačních změn na pozici kancléřky rozpočet agend kancléře "převeden" pod pracoviště rektorátu, který bude v r. 2026 tyto agendy zastřešovat. </t>
  </si>
  <si>
    <t xml:space="preserve">Rektorát </t>
  </si>
  <si>
    <t>2x notebook, 2x služební telefon - nově vypsaná pozice HR manažera/manažerky a ved. kanceláře rektorátu</t>
  </si>
  <si>
    <t>Kancléř</t>
  </si>
  <si>
    <t xml:space="preserve">Základní rozpočet provozních nákladů kanceláře. </t>
  </si>
  <si>
    <t>Základní, zatím sloučený s kancléřkou</t>
  </si>
  <si>
    <t>marketa.strnadova@avu.cz</t>
  </si>
  <si>
    <t>Umělecká rada AVU</t>
  </si>
  <si>
    <t xml:space="preserve">Základní rozpočet UR AVU, vč. honorářů. </t>
  </si>
  <si>
    <t>Správní rada AVU</t>
  </si>
  <si>
    <t xml:space="preserve">Základní rozpočet SR AVU. </t>
  </si>
  <si>
    <t>dominik.bon@avu.cz</t>
  </si>
  <si>
    <t>Architektura</t>
  </si>
  <si>
    <t>skladovací/úložné prostory v ateliérech</t>
  </si>
  <si>
    <t>40000-50000</t>
  </si>
  <si>
    <t>michal.ormandik@avu.cz</t>
  </si>
  <si>
    <t>Nova media I. - zvuk.studio</t>
  </si>
  <si>
    <t>Nová zostava reproduktorov (štúdiové monitory) pre zvukové štúdio.</t>
  </si>
  <si>
    <t>Súčasná repro-zostava bola zakúpená v roku 2007. Vzhľadom na jej vek, môže kedykoľvek nastať disfunkčnosť zvukového štúdia, ktoré je hojne celoškolsky využívané.</t>
  </si>
  <si>
    <t>10.590</t>
  </si>
  <si>
    <t>Michal Ormandík</t>
  </si>
  <si>
    <t>Aktivní studiový dvoupásmový monitor, korpus z litého hliníku, bi-amp, výkon: 50+50 W, zesilovač Class D, 4“ woofer, 3/4“ tweeter, neodymové magnety, frekvenční rozsah 56 Hz – 25 kHz, velmi čistý a věrný zvuk</t>
  </si>
  <si>
    <t>bude projednáno v červnu</t>
  </si>
  <si>
    <t>25.890</t>
  </si>
  <si>
    <t>Aktivní studiový subwoofer, LSE, výkon: 70 W, woofer 8", barva: černá</t>
  </si>
  <si>
    <t>provoz zvukového studia</t>
  </si>
  <si>
    <t xml:space="preserve">provozné náklady za semester (opravy, káble, drobné investície)+Pesr (zastínění, akce v Německu)-celkem </t>
  </si>
  <si>
    <t>20.000</t>
  </si>
  <si>
    <t>pavla.scerankova@avu.cz</t>
  </si>
  <si>
    <t>Intermedia II.</t>
  </si>
  <si>
    <t>výměna podlahy</t>
  </si>
  <si>
    <t>Zvýšení bezpečnost práce - podlaha se odlepuje, hrozí poranění při práci na nerovném povrchu, při manipulaci s objekty větších rozměrů, atd.</t>
  </si>
  <si>
    <t>891/mě + cena za položení</t>
  </si>
  <si>
    <t>170m</t>
  </si>
  <si>
    <t>úprava podlahy v ateliéru INT2 - výměna linolea</t>
  </si>
  <si>
    <t>https://www.dobrepodlahy.cz/produkt/1884/marmoleum-home-h47</t>
  </si>
  <si>
    <t>úpravy vestavby</t>
  </si>
  <si>
    <t>Prostor je intenzivně využíván jako skladovací a praconí prostor, původně byl určen k dočasnému improvizovanému žešení v rámci GAVU. Pro aktuální využívání neodpovídá bezpečnostním normám. Úprava je potřebná pro zvýšení bezpečnosti a efeltivity používání skladu.</t>
  </si>
  <si>
    <t>Vypracování projektu na úpravu vestavby včetně statického posuzení a provedení úpravy - přestavba schodiště, vrchního zábradlí a opláštění .</t>
  </si>
  <si>
    <t>vytvoření pracovní zóny pro prašnou práci</t>
  </si>
  <si>
    <t xml:space="preserve">Vytvoření oddělitelné pracovní zóny pro práci s nářadím zvýší bezpečnost a komfort práce s nářadím v ateliéru. Větší projekty je možné nárazově realizovat v Hubu, ale v ateliéru studující potřebují během celého semestru kontinuálně testovat své nápada a připravují menší modely.  Tato činnost vyžaduje práci s nářadím a doprovází ji zvýšená prašnost a hluk. Navrhujeme proto vytvořit menší oddělitelné zázemí, které zabrání šíření prachu do celého prostoru. </t>
  </si>
  <si>
    <t>zástěna na hrubou práci se dřevem (broušení, řezání, vrtání)</t>
  </si>
  <si>
    <t>https://www.mojedilna.cz/transeco-ochranna-zastena-2050-v--tmave-zelena-2050--1870-mm/?gad_source=1&amp;gad_campaignid=21685165892&amp;gclid=CjwKCAiAj8LLBhAkEiwAJjbY7wbYCMk5vY7xlre9Tf3pl93xK4slGAfkSblBUeKZyyJW9j9gDUofaRoC1e8QAvD_BwE</t>
  </si>
  <si>
    <t>lokální odsávání na hrubou práci převážně se dřevem</t>
  </si>
  <si>
    <t>https://www.boukal.cz/mobilni-odsavaci-zarizeni-bernardo-dc-160-230-v-1797-produkt?srsltid=AfmBOoqelzHF3NwQxIk6uWa5awqKzpWprGZWnYKSBWHnvCYosdThTmnFH_8</t>
  </si>
  <si>
    <t>tvorba a výuka</t>
  </si>
  <si>
    <t>Dovybavení ateliérového zázemí, které není dostupené v půjčovně.</t>
  </si>
  <si>
    <t>šicí stroj</t>
  </si>
  <si>
    <t xml:space="preserve">Dovybavení ateliérového zázemí, které je často používané. </t>
  </si>
  <si>
    <t>oscilační bruska</t>
  </si>
  <si>
    <t>https://www.naradi-dewalt.cz/elektricke-naradi-elektricke-brusky-multifunkcni-brusky/oscilacni-bruska-sada-prislusenstvi-dewalt-dwe315kt</t>
  </si>
  <si>
    <t>Dovybavení ateliérového zázemí, které je často používané.</t>
  </si>
  <si>
    <t>horní frézka</t>
  </si>
  <si>
    <t>https://www.naradi-dewalt.cz/aku-naradi-aku-frezky/aku-kombinovana-frezka-18v-2x5-0ah-dewalt-dcw604p2</t>
  </si>
  <si>
    <t>Dovybavení ateliérového zázemí, které není dostupené ani v půjčovně nářadí ani v dílnách.</t>
  </si>
  <si>
    <t>gravírovací pero</t>
  </si>
  <si>
    <t>https://www.dimapa.cz/multifunkcni-gravirovaci-pero-diamantovy-hrot-dimapa-engraver/</t>
  </si>
  <si>
    <t>záklafní nástroj pro instalaci a montáž</t>
  </si>
  <si>
    <t>křížový laser</t>
  </si>
  <si>
    <t>https://www.naradi-dewalt.cz/mereni-krizove-lasery/krizovy-laser-s-olovnici-dewalt-dw0822</t>
  </si>
  <si>
    <t>zvýšení kvalifikace pedagogů a studujících</t>
  </si>
  <si>
    <t>zkušenost s pokročilým svařováním rozšíří možnosti tvorby i uplatnění se v rámci uměleckého i profesního života.</t>
  </si>
  <si>
    <t>možno nabídnout celé škole</t>
  </si>
  <si>
    <t>kurz svařování pokročilé svařování MIG / MAG (nerez, ocel)</t>
  </si>
  <si>
    <t>https://azwelding.eu/o-nas-2/</t>
  </si>
  <si>
    <t xml:space="preserve">kurz sváření hliník </t>
  </si>
  <si>
    <t xml:space="preserve">bezpečnost </t>
  </si>
  <si>
    <t>ateliér</t>
  </si>
  <si>
    <t>kurz první pomoci</t>
  </si>
  <si>
    <t>https://www.cckpraha1.cz/kurzy/testovaci-kurz/</t>
  </si>
  <si>
    <t>umělecký provoz</t>
  </si>
  <si>
    <t>Navrhujeme  sérii komorních ateliérových setkání / diskusí s různými zástupci s profesionálního uměleckého provozu na téma komeční stránky umělecké tvorby - určování hodnoty umění, trh s uměním, základní obchidní dovednosti, limity a nástrahy, a pod</t>
  </si>
  <si>
    <t>Pracovní seznam hostek a hostů: FairArt, M.Vorlíček, L.Drdová, F.Polanski, J.Maixner...</t>
  </si>
  <si>
    <t>Ma základě poptávky studujících, navrhujeme workshop zaměřený na fotografování vlastních prací. Jak lépe fotografovat objekty, větší instalace, obrazy a různé materiály. Jak fotografie dále upravit a posílit v programu Lightroom nebo Photoshop. Na škole existuje podobný kurz, ale je spíše úvodní a méně se soustředí na samotné fotografování prací v reálných podmínkách.</t>
  </si>
  <si>
    <t>Jiří Thýn</t>
  </si>
  <si>
    <t>software pro výuku  interního ateliérového semináře o umění ve veřejném prostoru</t>
  </si>
  <si>
    <t>V rámci zaměřění ateliéru na veřejný prostor chystáme spustit interní seminář o veřejném prostoru. Seminář, kromě jiného, provede studující zájklady přípravy projektů pro soutěže do veřejného prostoru.  Program je základní pomůckou pro vytváření návrhů a vizualizací projektů do veřejného prostoru.</t>
  </si>
  <si>
    <t>ateliérový notebook</t>
  </si>
  <si>
    <t>licence SketchUp+ Vray</t>
  </si>
  <si>
    <t>https://sketchup.cz/sketchup-eshop/?utm_source=google&amp;utm_medium=cpc&amp;utm_campaign=PMax%20%7C%20Sketchup&amp;utm_id=21564693787&amp;gad_source=1&amp;gad_campaignid=21560977427&amp;gclid=CjwKCAiAj8LLBhAkEiwAJjbY72IQTAMHtFdi3KX7PnGYIGp5mWVpa3QMPvhh8VCHVSQrRH82CkMyRhoCag8QAvD_BwE</t>
  </si>
  <si>
    <t>viz výše</t>
  </si>
  <si>
    <t>Licence LUMION - vizualizační software</t>
  </si>
  <si>
    <t>https://www.lumion.cz/student/</t>
  </si>
  <si>
    <t>licence Rhino</t>
  </si>
  <si>
    <t>https://www.rhinocad.cz/edu/student/?go=buy</t>
  </si>
  <si>
    <t>vybavení skladu</t>
  </si>
  <si>
    <t>Nároky  na skladování daleko převyšují skladovací kapacity, pro zefektivnění navrhujeme dokoupit regál.</t>
  </si>
  <si>
    <t>sklad</t>
  </si>
  <si>
    <t>Regál na skladování profilů.</t>
  </si>
  <si>
    <t>https://www.b2bpartner.cz/regal-na-skladovani-profilu-oboustranny-2200-x-1400-x-800-mm-zakladni/</t>
  </si>
  <si>
    <t>vybavení ateliéru</t>
  </si>
  <si>
    <t xml:space="preserve">Studující pracují na improvizivaných stolech (nestabilné kozy, různé zbytkové desky), přáli bychom si vytvořit jim profesionálnější zázemí. Navrhujeme investovat do stolů, které můžou být využité pro práci a to i pro práci s materiály a nářadím. Zároveň je lze během klauzur a ateliérévých výstav efektivně zbalit a uložit. </t>
  </si>
  <si>
    <t>20ks</t>
  </si>
  <si>
    <t>Dílenský skládací stůl.</t>
  </si>
  <si>
    <t>https://www.b2bpartner.cz/dilensky-skladaci-stul-do-garaze-1200-x-700-x-845-mm/</t>
  </si>
  <si>
    <t>vybavení ateléru</t>
  </si>
  <si>
    <t>základní nábytek</t>
  </si>
  <si>
    <t>věšáky na oděv</t>
  </si>
  <si>
    <t>https://www.b2bpartner.cz/stojanovy-vesak-celokovovy/</t>
  </si>
  <si>
    <t>lepší přístup k nástrojům, zvýšení bezpečnosti</t>
  </si>
  <si>
    <t>organizér na nářadí na zeď do skladu</t>
  </si>
  <si>
    <t>https://www.b2bpartner.cz/zavesny-panel-na-naradi-hobby-iii-vcetne-22-ks-hacku-a-drzaku-595-x-395-x-25-mm/</t>
  </si>
  <si>
    <t>vytvoření zázemí pro konzultace</t>
  </si>
  <si>
    <t>vytvroření doposud neexistujícího zázemí pro pedagogy</t>
  </si>
  <si>
    <t>trenažér</t>
  </si>
  <si>
    <t xml:space="preserve">židle, stolní desky, pohodlné sezení </t>
  </si>
  <si>
    <t>pergler@avu.cz</t>
  </si>
  <si>
    <t xml:space="preserve">Knihovna AVU </t>
  </si>
  <si>
    <t>náklady na akvizice a provoz</t>
  </si>
  <si>
    <t>dlouhodobě na stejné úrovni i přes nárůst cen</t>
  </si>
  <si>
    <t>cca 500 knih, 15 řad odb. periodik, barvy xerox…</t>
  </si>
  <si>
    <t>Tomáš Pergler</t>
  </si>
  <si>
    <t>základní rozpočet Knihovny AVU, určený na nové akvizice odborných publikací, kontinuace stavajících odborných periodik, provoz kopírky a tiskáren….</t>
  </si>
  <si>
    <t>branislava.kuburovic@avu.cz</t>
  </si>
  <si>
    <t>Oddělení kvality</t>
  </si>
  <si>
    <t>rozhovory s pedagogy, v budoucnu také konference atd., možnost využity pro další oddělení a zaměstance AVU</t>
  </si>
  <si>
    <t>základní pomůcka k sberu dat od 51 pedagogů</t>
  </si>
  <si>
    <t>branislava Kuburovic</t>
  </si>
  <si>
    <t>základní vybavení</t>
  </si>
  <si>
    <t xml:space="preserve">kancelářské potřeby pro OHAK </t>
  </si>
  <si>
    <t>z kanceláře bude odstěhována skříň</t>
  </si>
  <si>
    <t>Policový systém</t>
  </si>
  <si>
    <t xml:space="preserve">korektury textů </t>
  </si>
  <si>
    <t>každoročně budeme zpracovávát různé zprávy a dokumenty pro prorektorát a oddělení OHAK</t>
  </si>
  <si>
    <t xml:space="preserve">korektury zprav o vnitřním hodnocení, atd. </t>
  </si>
  <si>
    <t>lamija.cehajic@avu.cz</t>
  </si>
  <si>
    <t>networking, internacionalizace, zvyšování kompetencí</t>
  </si>
  <si>
    <t>2x3měsíční</t>
  </si>
  <si>
    <t>lamija čehajič</t>
  </si>
  <si>
    <t>podpora aktivit a doprovodných programů, příprava výstavy AVU v českém centru Paríž (jaro 2027), zahraniční výstava v GAVU (spolupráce s Beaux Arts Paris, podzim 2026)</t>
  </si>
  <si>
    <t>45000?</t>
  </si>
  <si>
    <t>škola, PPSŘ, jiné zdroje (GAVU, granty)</t>
  </si>
  <si>
    <t>produkční zajištění návštěv (program, doprava, technika), honoráre ze přednášky, kulturní a institucionální diplomacie školy</t>
  </si>
  <si>
    <t>škola, PPSŘ, jiné zdroje</t>
  </si>
  <si>
    <t>neplánované návštěvy, rychlé reakce na pozvání, nové příležitosti, které nejdou plánovat rok dopředu</t>
  </si>
  <si>
    <t>10000?</t>
  </si>
  <si>
    <t>systematická reprezentace AVU v zahraničí, produkce mezinárodních aktivit, péče o zahraniční hosty a rozvoj dlouhodobých partnerství se zahraničními institucemi.</t>
  </si>
  <si>
    <t>10000-30000</t>
  </si>
  <si>
    <t>Erasmus, PPSŘ, škola - 100 000 kč</t>
  </si>
  <si>
    <t>roční licence</t>
  </si>
  <si>
    <t>DKRVO+škola</t>
  </si>
  <si>
    <t>on-line školení</t>
  </si>
  <si>
    <t>3000-10000</t>
  </si>
  <si>
    <t>škola, PPSŘ</t>
  </si>
  <si>
    <t>Grosman?</t>
  </si>
  <si>
    <t>a.monachisa@avu.cz</t>
  </si>
  <si>
    <t>Prorektorát pro internacionalizaci a výzkum</t>
  </si>
  <si>
    <t>networking, admin, management, inovace</t>
  </si>
  <si>
    <t>školení, konference, výjezdy vedení, schůzky</t>
  </si>
  <si>
    <t>cca 10 000</t>
  </si>
  <si>
    <t>aneta mona chissa</t>
  </si>
  <si>
    <t>škola -- 80 000 kč</t>
  </si>
  <si>
    <t xml:space="preserve">70 000 kč </t>
  </si>
  <si>
    <t>mimořádní práce, nadčasy</t>
  </si>
  <si>
    <t xml:space="preserve"> odměny</t>
  </si>
  <si>
    <t>dle typu a rozsahu</t>
  </si>
  <si>
    <t>škola, DKRVO -- 100 000 kč</t>
  </si>
  <si>
    <t>internacionalizace, příprava mezinárodních projektů (cesty, workshopy, konzultace, překlady), vytváření stabilní infrastruktury, která umožňuje reagovat na mezinárodní výzvy, iniciovat nové spolupráce a zvyšovat mezinárodní viditelnost AVU.</t>
  </si>
  <si>
    <t xml:space="preserve">mezinárodní navštevy, hosté </t>
  </si>
  <si>
    <t>100 000 ročně</t>
  </si>
  <si>
    <t>Networking, internacionalizace, podpora mobility, pracovní cesty na jednání a rozvoj partnerství, návštěvy zahraničních partnerů na AVU, mobility mimo EU nebo mimo běžné grantové programy</t>
  </si>
  <si>
    <t xml:space="preserve">Cestovné, ubytování </t>
  </si>
  <si>
    <t>10 000 - 30 000 kč (dle místa konání a délky pobytu)</t>
  </si>
  <si>
    <t>10/rok</t>
  </si>
  <si>
    <t>DKRVO, PPSŘ, škola - 250 000 kč</t>
  </si>
  <si>
    <t>provozní náklady:   drobný materiál, poštovné, vybavení</t>
  </si>
  <si>
    <t>5 000 kč / rok</t>
  </si>
  <si>
    <t>škola -- 5 000 kč</t>
  </si>
  <si>
    <t>kvalitní prezentační materiály v angličtině, profesionální vizuální dokumentace výzkumných projektů, podpora webové prezentace a digitálních archivů</t>
  </si>
  <si>
    <t>Strategická komunikace a reprezentace</t>
  </si>
  <si>
    <t>50 000 kč</t>
  </si>
  <si>
    <t>různe zdroje</t>
  </si>
  <si>
    <t>*/rok</t>
  </si>
  <si>
    <t>škola + částečně DKRVO -- 40 000 kč</t>
  </si>
  <si>
    <t>2 až 3</t>
  </si>
  <si>
    <t>škola+ DKRVO-20000</t>
  </si>
  <si>
    <t>Korektury, editorské práce, předklady</t>
  </si>
  <si>
    <t>dle rozsahu</t>
  </si>
  <si>
    <t>škola -- 10 000 kč</t>
  </si>
  <si>
    <t xml:space="preserve">výzkumná rada (interní čl. odměny ke mzdě + externí čl. DPP/DPČ) </t>
  </si>
  <si>
    <t xml:space="preserve">2000-4000kč </t>
  </si>
  <si>
    <t>2/rok</t>
  </si>
  <si>
    <t>PPSŘ, DKRVO -- cca 20 000 kč</t>
  </si>
  <si>
    <t>brigády, honoráře, odměny</t>
  </si>
  <si>
    <t>škola, DKRVO -- cca 60 000 kč</t>
  </si>
  <si>
    <t>5-10/rok</t>
  </si>
  <si>
    <t>DKRVO, škola - 200 000 kč</t>
  </si>
  <si>
    <t>provozní náklady:  kancelářské potřeby, drobný materiál a vybavení</t>
  </si>
  <si>
    <t>8 000 kč / rok</t>
  </si>
  <si>
    <t>škola -- 8000 kč</t>
  </si>
  <si>
    <t>provozní náklady: deepl, software adobe cc, anthropic, openai,  další</t>
  </si>
  <si>
    <t>cca 40 000  kč / rok</t>
  </si>
  <si>
    <t>tonery, tiskárna</t>
  </si>
  <si>
    <t>15 000 kč</t>
  </si>
  <si>
    <t>škola, DKRVO 20000</t>
  </si>
  <si>
    <t>irina.gheorghe@avu.cz</t>
  </si>
  <si>
    <t>Oddělení uměleckého výzkumu LARGE</t>
  </si>
  <si>
    <t xml:space="preserve">cca  5-6  </t>
  </si>
  <si>
    <t>Irina Gheorghe</t>
  </si>
  <si>
    <t>škola -- 25 000 kč</t>
  </si>
  <si>
    <t>ubytováni a cestovné hosté</t>
  </si>
  <si>
    <t>10000 až 40000 / osoba</t>
  </si>
  <si>
    <t>očekáváme 10 konferenčních hostů, 10 přednášek,  2-3 recenzentů</t>
  </si>
  <si>
    <t>DKRVO -- cca 600 000 kč</t>
  </si>
  <si>
    <t>Honoráře (recenzenti publikací, hosté konferencí a přednášek)</t>
  </si>
  <si>
    <t>4000-1500kč (dle typu a rozsahu príspěvku)</t>
  </si>
  <si>
    <t>DKRVO -- cca 200 000 kč</t>
  </si>
  <si>
    <t>Tisk, grafická úprava, editorské práce pro publikace, honoráře s tím spojené</t>
  </si>
  <si>
    <t>očekávame 2 publikace na 2026</t>
  </si>
  <si>
    <t>DKRVO (NAVU a LARGE) -- cca 150 000 kč</t>
  </si>
  <si>
    <t>Technická podpora u přednášek a konferencí</t>
  </si>
  <si>
    <t>cca 5000kč až 30000 událost (dle rozsahu)</t>
  </si>
  <si>
    <t>4 - 5 událostí</t>
  </si>
  <si>
    <t>DKRVO -- 180 000 kč</t>
  </si>
  <si>
    <t>DKRVO, příp. Erasmus+, PPSŘ -- 200 000 kč</t>
  </si>
  <si>
    <t>web large.avu.cz</t>
  </si>
  <si>
    <t>dle potřeby</t>
  </si>
  <si>
    <t>40000 / rok</t>
  </si>
  <si>
    <t>DKRVO -- 40 000 kč</t>
  </si>
  <si>
    <t>provozní náklady:  kancelářské potřeby (papír, tonery), tisk, etc.</t>
  </si>
  <si>
    <t>nakup literatury</t>
  </si>
  <si>
    <t>DKRVO -- 10 000 kč</t>
  </si>
  <si>
    <t>mzda Irina Gheorghe</t>
  </si>
  <si>
    <t>DKRVO</t>
  </si>
  <si>
    <t>provozní náklady: software adobe cc, anthropic, openai,  další</t>
  </si>
  <si>
    <t>licence se obnovuje  vždy ke konci roku</t>
  </si>
  <si>
    <t>škola - DKRVO - 40 000</t>
  </si>
  <si>
    <t>online školení a kurzy, odborné konzultace pri příprave grantových žádostí</t>
  </si>
  <si>
    <t>2 až 5</t>
  </si>
  <si>
    <t>škola, DKRVO -- 20 000 kč</t>
  </si>
  <si>
    <t>jaromir,pesr@avu.cz</t>
  </si>
  <si>
    <t>Nová média 1</t>
  </si>
  <si>
    <t>možnost úplného zatemnění jižního ateliéru</t>
  </si>
  <si>
    <t>Ateliér se velmi často používá jako black box, ale nejde jednoduše zatemnit</t>
  </si>
  <si>
    <t>cca 20-30.000</t>
  </si>
  <si>
    <t>jaromír Pesr</t>
  </si>
  <si>
    <t>Během klauzur, ale i diplomantských výstav, je ateliér používán jako black box, který se musí pokaždé složitě zatemňovat a i tak není zatemnění vždy stoprocentní. Instalace profesionální možnosti zatemnění by umožňovala celoročně využívat prostor jako laboratoř pro práci s projekcemi, lightdesignem a pro další experimenty, kdy je nezbytná absolutní tma. Žádný takový prostor na AVU neexistuje.</t>
  </si>
  <si>
    <t>příspěvek na účast studentů na umělecké akci Forest Research Platform</t>
  </si>
  <si>
    <t>Ateliér dostal pozvání k účasti na uměleckém projektu Forest Research Platform v Německu. Většinu nákladů s tím spojených budeme hradit s ateliérového rozpočtu, žádáme však o příspěvek na cestu a ubytování. Je to mezinárodní projekt, který by mohl pravděpodobně přinést škole nemála RUV bodů.</t>
  </si>
  <si>
    <t>12 až 18</t>
  </si>
  <si>
    <t>Forest Research Platform — Kirsten_Palz
https://www.instagram.com/forest_research_platform/</t>
  </si>
  <si>
    <t>upgrade našich stávajících desktop worstations</t>
  </si>
  <si>
    <t>Upgrade pamětí, grafických karet, úložště (dle možností)</t>
  </si>
  <si>
    <t>cca 40 - 60.000</t>
  </si>
  <si>
    <t xml:space="preserve">Dvě naše nejvýkoněší a nejvytíženější desktop pracovní stanice už začínají zastarávat. Vzhledem k samotné povaze ateliéru studenti často pracují na projektech, které jsou technologicky extrémně náročné. Udržet technologickou konkurenceshopnost v současných trendech by tak mělo být samozřejmostí. </t>
  </si>
  <si>
    <t>nela.klajbanova@avu.cz</t>
  </si>
  <si>
    <t>GAVU</t>
  </si>
  <si>
    <t>Realizace výstavního programu v GAVU</t>
  </si>
  <si>
    <t>Nela Klajbanová</t>
  </si>
  <si>
    <t xml:space="preserve">Celoroční výstavní a projekční program v GAVU </t>
  </si>
  <si>
    <t>Technické vybavení GAVU</t>
  </si>
  <si>
    <t>Opakovaná potřeba na výstavách (dlouhodobější investice je výhodnější oproti platbám za pronájem)</t>
  </si>
  <si>
    <t>Raspberry přehrávač</t>
  </si>
  <si>
    <t>Studiové reproduktory</t>
  </si>
  <si>
    <t>Bluetooth sluchátka</t>
  </si>
  <si>
    <t>Bodové osvětlení</t>
  </si>
  <si>
    <t>typ výdaje</t>
  </si>
  <si>
    <t>Zakázka</t>
  </si>
  <si>
    <t>Plán 2025 celkem</t>
  </si>
  <si>
    <t>2025 nEI</t>
  </si>
  <si>
    <t>2025 INV</t>
  </si>
  <si>
    <t>Skutečnost 2025 NEI</t>
  </si>
  <si>
    <t>Sktečnost 2025 INV</t>
  </si>
  <si>
    <t>Rozpočet 2026 NEI</t>
  </si>
  <si>
    <t>Rozpočet 2026 INV</t>
  </si>
  <si>
    <t>Spolufinancování Sešit</t>
  </si>
  <si>
    <t>011330</t>
  </si>
  <si>
    <t>Spolufinancování MK GAVU</t>
  </si>
  <si>
    <t>011335</t>
  </si>
  <si>
    <t>Spolufinanování MK SF</t>
  </si>
  <si>
    <t>011338, 011339</t>
  </si>
  <si>
    <t xml:space="preserve">Spolufinancování TAČR (Jana B)-30% </t>
  </si>
  <si>
    <t>014202</t>
  </si>
  <si>
    <t>Nutno projednat s veronikou Jurečkovou</t>
  </si>
  <si>
    <t>Spolufinancování OP JAK 5%</t>
  </si>
  <si>
    <t>015230,015240</t>
  </si>
  <si>
    <t>Spolufinancová GAČR (UK VASA)</t>
  </si>
  <si>
    <t>Moderní galerie - zajištění odsávaní zdraví škodlivých par ve výukovém prostoru pro nový profesní program Restaurování moderních uměleckých děl z netradičních materiálů, IP</t>
  </si>
  <si>
    <t>stavební</t>
  </si>
  <si>
    <t>011183</t>
  </si>
  <si>
    <t>Rekonstrukce vchodových dveří na HB</t>
  </si>
  <si>
    <t>Statický průzkum prostor využitelných jako sklad knih</t>
  </si>
  <si>
    <t>Průzkum patra 1 na HB a Veletržní</t>
  </si>
  <si>
    <t>DIPLOMANTI - výstava</t>
  </si>
  <si>
    <t>011109</t>
  </si>
  <si>
    <t>Zvukové studio NM2</t>
  </si>
  <si>
    <t>011112</t>
  </si>
  <si>
    <t>20 000 bude ještě projednáno</t>
  </si>
  <si>
    <t>Tvůrčí grantová soutěž (diplomanti+studenti)</t>
  </si>
  <si>
    <t>011106</t>
  </si>
  <si>
    <t>Výdaje na IT - škola</t>
  </si>
  <si>
    <t>011122</t>
  </si>
  <si>
    <t xml:space="preserve">EPC neinvestice </t>
  </si>
  <si>
    <t>019510</t>
  </si>
  <si>
    <t>EPC (CSOB,, ENESA)</t>
  </si>
  <si>
    <t>Rekonstrukce - okna v atelierech</t>
  </si>
  <si>
    <t>oprava-neinvestice?</t>
  </si>
  <si>
    <t>externí audity /ekologická audit, aj./</t>
  </si>
  <si>
    <t>011120</t>
  </si>
  <si>
    <t>Nové auto pro AVU(Vobnášil?)</t>
  </si>
  <si>
    <t>PR oddělení - navigační systém /vnější, vniztřní/ mimo Veletržní</t>
  </si>
  <si>
    <t>011180</t>
  </si>
  <si>
    <t>PR oddělení - merch /propagační předměty/</t>
  </si>
  <si>
    <t>011181</t>
  </si>
  <si>
    <t>PR -WEB - úpravy</t>
  </si>
  <si>
    <t>Nový web /po realizaci Intranetu/</t>
  </si>
  <si>
    <t>Akademický klub - opravy a investice</t>
  </si>
  <si>
    <t>011134</t>
  </si>
  <si>
    <t>Bezpečnost na AVU /ochrana měkkých cílů/</t>
  </si>
  <si>
    <t>011133</t>
  </si>
  <si>
    <t xml:space="preserve"> 1.etapa digitalizace</t>
  </si>
  <si>
    <t>011132</t>
  </si>
  <si>
    <t>hrazeno z PPSŘ</t>
  </si>
  <si>
    <t>Grafické dílky  instalace otevíracího světlíku včetně napojení do EZS, Mar</t>
  </si>
  <si>
    <t>011139</t>
  </si>
  <si>
    <t>Studie úprav dílenského patra (A.Wlazel)</t>
  </si>
  <si>
    <t>011135</t>
  </si>
  <si>
    <t>Projednat s Wlazelem</t>
  </si>
  <si>
    <t>Personální audit AVU</t>
  </si>
  <si>
    <t>011120_02</t>
  </si>
  <si>
    <t>Náklady na sklad materiálu na ŠA (pro všechny)</t>
  </si>
  <si>
    <t>011110</t>
  </si>
  <si>
    <t>Náklady na stěhování (dislokace)</t>
  </si>
  <si>
    <t>protipožární dveře</t>
  </si>
  <si>
    <t>oprava oken</t>
  </si>
  <si>
    <t>stěhování</t>
  </si>
  <si>
    <t>nové auto</t>
  </si>
  <si>
    <t>nová budova</t>
  </si>
  <si>
    <t>Varianta 1</t>
  </si>
  <si>
    <t>návrh 2024</t>
  </si>
  <si>
    <t>zdroj</t>
  </si>
  <si>
    <t>skutečnost 2024</t>
  </si>
  <si>
    <t>skutečnost - plán v Kč</t>
  </si>
  <si>
    <t>skutečnost - plán - navýšení  v  %</t>
  </si>
  <si>
    <t>navýšení oproti 2023</t>
  </si>
  <si>
    <t>Rozpočet 2025</t>
  </si>
  <si>
    <t>Rozdíl Rozpočet - Skutečnost 2025</t>
  </si>
  <si>
    <t>Rozpočet na rok 2026                         Navýšení dle skutečnosti 2025</t>
  </si>
  <si>
    <t>ze všech zdrojů</t>
  </si>
  <si>
    <t xml:space="preserve">Všechny zdroje </t>
  </si>
  <si>
    <t>z příspěvku</t>
  </si>
  <si>
    <t>A+K+FUČ</t>
  </si>
  <si>
    <t xml:space="preserve">zdroje financování 2025, které už nebudou </t>
  </si>
  <si>
    <t>Cizí zdroje mimo 1111 2025</t>
  </si>
  <si>
    <t>Předpoklad 2026</t>
  </si>
  <si>
    <t>Navýšení 5% z tarifu a příplatků</t>
  </si>
  <si>
    <t>Sestava PE110 a stav k 31.1.2026</t>
  </si>
  <si>
    <t>Všechny zdroje - nebude použito, navýšení mezd pouze ze zdroje 1111</t>
  </si>
  <si>
    <t>Mzda</t>
  </si>
  <si>
    <t>Vedení</t>
  </si>
  <si>
    <t>Osobní</t>
  </si>
  <si>
    <t>celkem / měsíc</t>
  </si>
  <si>
    <t>Celkem / rok</t>
  </si>
  <si>
    <t>S odvody</t>
  </si>
  <si>
    <t>Navýšení 5%</t>
  </si>
  <si>
    <t>A+K+FUČ (1111)</t>
  </si>
  <si>
    <t>počet prac.</t>
  </si>
  <si>
    <t>prům.měs.mzda</t>
  </si>
  <si>
    <t>akademičtí pracovníci</t>
  </si>
  <si>
    <t>vědečtí pracovníci</t>
  </si>
  <si>
    <t>2x výstava studentů</t>
  </si>
  <si>
    <t>příspěvek na dvě semestrální práce/ student</t>
  </si>
  <si>
    <t>společné barvy, sádra, elektro</t>
  </si>
  <si>
    <t>externí přednášející</t>
  </si>
  <si>
    <t>modely,komparz,externí řemesla/ student</t>
  </si>
  <si>
    <t>studijní cesty/ student</t>
  </si>
  <si>
    <t>výpočet (podle počtu studentů pro rok 2025)</t>
  </si>
  <si>
    <t>Výpočet pro rok 2025 podle počtu stedentů</t>
  </si>
  <si>
    <t>Počet studentů 2025/2026</t>
  </si>
  <si>
    <t>ATELIÉR</t>
  </si>
  <si>
    <t>BAKALÁŘI</t>
  </si>
  <si>
    <t>PŘERUŠENÍ BAKALÁŘI</t>
  </si>
  <si>
    <t>NAVAZUJÍCÍ MAGISTŘI</t>
  </si>
  <si>
    <t>PŘERUŠENÍ NAVAZUJÍCÍ MAGISTŘI</t>
  </si>
  <si>
    <t>MAGISTŘI</t>
  </si>
  <si>
    <t>PŘERUŠENÍ MAGISTŘI</t>
  </si>
  <si>
    <t>DOKTORANDI</t>
  </si>
  <si>
    <t>PŘERUŠENÍ DOKTORANDI</t>
  </si>
  <si>
    <t>AKTUÁLNÍ POČET STUDENTŮ /bez doktorandů a přerušení/</t>
  </si>
  <si>
    <t>POČET I S PŘERUŠENÝMI STUDENTY</t>
  </si>
  <si>
    <t>Stáže</t>
  </si>
  <si>
    <t>MAL1</t>
  </si>
  <si>
    <t>MAL2</t>
  </si>
  <si>
    <t>MAL3</t>
  </si>
  <si>
    <t>MAL4</t>
  </si>
  <si>
    <t>KRES</t>
  </si>
  <si>
    <t>GRA1</t>
  </si>
  <si>
    <t>GRA2</t>
  </si>
  <si>
    <t>SOCH1</t>
  </si>
  <si>
    <t>SOCH2</t>
  </si>
  <si>
    <t>SOCHF</t>
  </si>
  <si>
    <t>INTM1</t>
  </si>
  <si>
    <t>INTM2</t>
  </si>
  <si>
    <t>INTM3</t>
  </si>
  <si>
    <t>NOV1</t>
  </si>
  <si>
    <t>NOV2</t>
  </si>
  <si>
    <t>RESTM (na dostudování)</t>
  </si>
  <si>
    <t>RESTS (na dostudování)</t>
  </si>
  <si>
    <t>RUD</t>
  </si>
  <si>
    <t>RMUD (plasty)</t>
  </si>
  <si>
    <t>Malířská a sochařská přípravka</t>
  </si>
  <si>
    <t>MUST</t>
  </si>
  <si>
    <t>Malířská přípravka</t>
  </si>
  <si>
    <t>ARCH</t>
  </si>
  <si>
    <t>2 (kombinované)</t>
  </si>
  <si>
    <t>RVD (PhD)</t>
  </si>
  <si>
    <t>Kresba Přípravka</t>
  </si>
  <si>
    <t>TDU (PhD)</t>
  </si>
  <si>
    <t>TDU</t>
  </si>
  <si>
    <t>CELKEM</t>
  </si>
  <si>
    <t>AiC /není kalkulován podle vzorce - samostatný list/</t>
  </si>
  <si>
    <t>Výsledovka po účtech - plány / skutečnost</t>
  </si>
  <si>
    <t>všechny zdroje</t>
  </si>
  <si>
    <t>dle plánu 2024</t>
  </si>
  <si>
    <t>dle skutečnosto 2024+odhady</t>
  </si>
  <si>
    <t>Střednědobý záměr (odvozeno z 2018)</t>
  </si>
  <si>
    <t>plán 2021</t>
  </si>
  <si>
    <t>Plán 2021 návrh</t>
  </si>
  <si>
    <t xml:space="preserve">Skutečnost  2021 </t>
  </si>
  <si>
    <t>Rozdíl 2020-2021</t>
  </si>
  <si>
    <t>rozdíl Plán skutečnost</t>
  </si>
  <si>
    <t>Střednědobý záměr  návrh</t>
  </si>
  <si>
    <t>skutečnost 2023</t>
  </si>
  <si>
    <t>rozdíl skutečnost 2023 - plán 2023</t>
  </si>
  <si>
    <t>Rozdíl Plán 2024-skutečnost 2024</t>
  </si>
  <si>
    <t>plán 2025 /24/</t>
  </si>
  <si>
    <t>plán 2026 /24/</t>
  </si>
  <si>
    <t>Účet</t>
  </si>
  <si>
    <t>Skutečnost 2016</t>
  </si>
  <si>
    <t>Plán 2017</t>
  </si>
  <si>
    <t>Skutečnost 2017</t>
  </si>
  <si>
    <t>Rozdíl skutečnost 2017 - 2016</t>
  </si>
  <si>
    <t>Plán 2018 původní</t>
  </si>
  <si>
    <t xml:space="preserve">Plán 2018 </t>
  </si>
  <si>
    <t>Rozdíl plán 2018 nový - původní</t>
  </si>
  <si>
    <t>Skutečnost 2018</t>
  </si>
  <si>
    <t xml:space="preserve">Plán 2019 </t>
  </si>
  <si>
    <t>Plán 2020</t>
  </si>
  <si>
    <t>Plán 2021</t>
  </si>
  <si>
    <t>Plán 2019 upravený</t>
  </si>
  <si>
    <t xml:space="preserve">Plán 2020 </t>
  </si>
  <si>
    <t>Skutečnost 2019</t>
  </si>
  <si>
    <t>rozdíl</t>
  </si>
  <si>
    <t>%</t>
  </si>
  <si>
    <t>Plán 2020 /původní/</t>
  </si>
  <si>
    <t>Skutečnost 2020( *činnost)</t>
  </si>
  <si>
    <t>Plán 2021 (z roku 2020)</t>
  </si>
  <si>
    <t>1111</t>
  </si>
  <si>
    <t>koef 2020</t>
  </si>
  <si>
    <t>Plán 2022</t>
  </si>
  <si>
    <t>Skutečnost 2022</t>
  </si>
  <si>
    <t>Rozdíl Plán - skutečnost</t>
  </si>
  <si>
    <t>Plán 2023 /z roku 22/</t>
  </si>
  <si>
    <t xml:space="preserve">Plán 2023 </t>
  </si>
  <si>
    <t>Plán 2023-skutečnost 2022</t>
  </si>
  <si>
    <t>Skutečnost 2023</t>
  </si>
  <si>
    <t>plán 2024</t>
  </si>
  <si>
    <t>plán 2025 /25/</t>
  </si>
  <si>
    <t xml:space="preserve">plán 2026 </t>
  </si>
  <si>
    <t>plán 2027 /26/</t>
  </si>
  <si>
    <t>Plán 2028 /26/</t>
  </si>
  <si>
    <t>501</t>
  </si>
  <si>
    <t>Spotřeba materiálu</t>
  </si>
  <si>
    <t>502</t>
  </si>
  <si>
    <t>Spotřeba energie</t>
  </si>
  <si>
    <t>Prodané zboží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</si>
  <si>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</si>
  <si>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</si>
  <si>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</si>
  <si>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</si>
  <si>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</si>
  <si>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</si>
  <si>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</si>
  <si>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</si>
  <si>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521+524+527</t>
  </si>
  <si>
    <t>Mzdové náklady</t>
  </si>
  <si>
    <t>524</t>
  </si>
  <si>
    <t>Zákonné sociální pojištění</t>
  </si>
  <si>
    <t>527</t>
  </si>
  <si>
    <t>Zákonné sociální náklady</t>
  </si>
  <si>
    <t>531</t>
  </si>
  <si>
    <t>Daň silniční a z nemovistosti</t>
  </si>
  <si>
    <t>Daň z nemovitostí</t>
  </si>
  <si>
    <t>538</t>
  </si>
  <si>
    <t>Ostatní daně a poplatky</t>
  </si>
  <si>
    <t>Smluvní pokuty a úroky z prodlení</t>
  </si>
  <si>
    <t>542</t>
  </si>
  <si>
    <t>Ostatní pokuty a penále</t>
  </si>
  <si>
    <t>544</t>
  </si>
  <si>
    <t>Úroky</t>
  </si>
  <si>
    <t>545</t>
  </si>
  <si>
    <t>Kurzové ztráty</t>
  </si>
  <si>
    <t>Manka a škody</t>
  </si>
  <si>
    <t>549</t>
  </si>
  <si>
    <t>Jiné ostatní náklady</t>
  </si>
  <si>
    <t>Odpisy</t>
  </si>
  <si>
    <t>Zůst.cena prod.dlouh.nehm. a hm.majetku</t>
  </si>
  <si>
    <t>Prodej materiálu</t>
  </si>
  <si>
    <t>556</t>
  </si>
  <si>
    <t>Zákonné rezervy na opravy</t>
  </si>
  <si>
    <t>Opravná položka k pohledávce</t>
  </si>
  <si>
    <t>561,563,571,574</t>
  </si>
  <si>
    <t>Změna stavu vlastních výrobků</t>
  </si>
  <si>
    <t>Daň z příjmu</t>
  </si>
  <si>
    <t>Náklady celkem</t>
  </si>
  <si>
    <t>57*</t>
  </si>
  <si>
    <t>Aktivace</t>
  </si>
  <si>
    <t>Tržby z prodeje služeb, vlastní výrobky</t>
  </si>
  <si>
    <t>604</t>
  </si>
  <si>
    <t>Tržby za prodané zboží</t>
  </si>
  <si>
    <t>Změna stavu zásob nedokončené výroby</t>
  </si>
  <si>
    <t>Kursové zisky, ost.pokuty</t>
  </si>
  <si>
    <t>Zúčtování fondů</t>
  </si>
  <si>
    <t>649</t>
  </si>
  <si>
    <t>Jiné ostatní výnosy</t>
  </si>
  <si>
    <t>Tržby z prodeje DHM</t>
  </si>
  <si>
    <t>654</t>
  </si>
  <si>
    <t>Tržby z prodeje materiálu</t>
  </si>
  <si>
    <t>682</t>
  </si>
  <si>
    <t>Přijaté příspěvky</t>
  </si>
  <si>
    <t>691</t>
  </si>
  <si>
    <t>Přijaté přís. mezi zúčt.mezi org.slož.+FUČ</t>
  </si>
  <si>
    <t>Výnosy celkem</t>
  </si>
  <si>
    <t>HOSPODÁŘSKÝ  VÝSLEDEK:</t>
  </si>
  <si>
    <t>Celkem náklady za vybrané:</t>
  </si>
  <si>
    <t>Celkem výnosy za vybrané:</t>
  </si>
  <si>
    <t>Hospodářský výsledek za vybrané:</t>
  </si>
  <si>
    <t>koef. 1,05</t>
  </si>
  <si>
    <t>koef 1,05</t>
  </si>
  <si>
    <t>dodělat</t>
  </si>
  <si>
    <t>vliv 133220+NPO</t>
  </si>
  <si>
    <t>OP Jak</t>
  </si>
  <si>
    <t>OJ Jak</t>
  </si>
  <si>
    <t>???</t>
  </si>
  <si>
    <t>????</t>
  </si>
  <si>
    <t>V</t>
  </si>
  <si>
    <t>N</t>
  </si>
  <si>
    <t>plán 2025</t>
  </si>
  <si>
    <t>Celkem náklady</t>
  </si>
  <si>
    <t xml:space="preserve">Celkem výnosy </t>
  </si>
  <si>
    <t>Hospodářský výsledek</t>
  </si>
  <si>
    <t>Název střediska/ateliéru:</t>
  </si>
  <si>
    <r>
      <rPr>
        <b/>
        <sz val="12"/>
        <color rgb="FF000000"/>
        <rFont val="Calibri"/>
        <family val="2"/>
        <charset val="238"/>
      </rPr>
      <t>Tabulka č. 2: Požadavky na IT techniku</t>
    </r>
    <r>
      <rPr>
        <b/>
        <sz val="12"/>
        <color rgb="FFFF0000"/>
        <rFont val="Calibri"/>
        <family val="2"/>
        <charset val="238"/>
      </rPr>
      <t xml:space="preserve"> na rok 2025</t>
    </r>
  </si>
  <si>
    <t>IT TECHNIKA na roky 2024-2025-2026</t>
  </si>
  <si>
    <t>Pořadové číslo</t>
  </si>
  <si>
    <t>nový systém pořad. Č.</t>
  </si>
  <si>
    <t>Sekce</t>
  </si>
  <si>
    <t>Oblast</t>
  </si>
  <si>
    <t>Popis požadované IT techniky</t>
  </si>
  <si>
    <t>Typ</t>
  </si>
  <si>
    <t>Druh financování</t>
  </si>
  <si>
    <t>Investice / neinvestice</t>
  </si>
  <si>
    <t>Priorita</t>
  </si>
  <si>
    <t>Přibližná výše nákladu v Kč 2026 +10%</t>
  </si>
  <si>
    <t>SCHVÁLENÉ 28.03.23</t>
  </si>
  <si>
    <t>schválené 2025</t>
  </si>
  <si>
    <t>skutečnost 23</t>
  </si>
  <si>
    <t>návrh čerpání 2026</t>
  </si>
  <si>
    <t>čerpání 2025</t>
  </si>
  <si>
    <t>skutečné čerpání 2026</t>
  </si>
  <si>
    <t>zbývajicí rozpočet 2024</t>
  </si>
  <si>
    <t>k přesunutí do 2026</t>
  </si>
  <si>
    <t>Přibližná výše nákladu v Kč 2023</t>
  </si>
  <si>
    <t>skutečné čerpání 2023</t>
  </si>
  <si>
    <t>zbývajicí rozpočet 2023</t>
  </si>
  <si>
    <t>CELKEM 2022 a 2023</t>
  </si>
  <si>
    <t>CELKEM 2023</t>
  </si>
  <si>
    <t>zbývajicí náklady</t>
  </si>
  <si>
    <t>REZERVA</t>
  </si>
  <si>
    <t>Nutná obnova</t>
  </si>
  <si>
    <t>Financováni z projektu</t>
  </si>
  <si>
    <t>Financováno z</t>
  </si>
  <si>
    <t>Jedná se o nutnou obnova IT techniky? (ANO/NE)</t>
  </si>
  <si>
    <t>fin. Rozpočet</t>
  </si>
  <si>
    <t>čerpáno kdy?</t>
  </si>
  <si>
    <t>zbývajicí rozpočet 2022+2023</t>
  </si>
  <si>
    <t>POPIS potřeby</t>
  </si>
  <si>
    <t xml:space="preserve">odhadovaná cena </t>
  </si>
  <si>
    <t>Aplikace</t>
  </si>
  <si>
    <t>Licence + podpora</t>
  </si>
  <si>
    <t>Platba za uživatele IS STAG / stávající servis + nový poušál za nové služby NPO</t>
  </si>
  <si>
    <t>E</t>
  </si>
  <si>
    <t>Mandatorní</t>
  </si>
  <si>
    <t>IT ROZPOČET 011122</t>
  </si>
  <si>
    <t>Rozpočet IT</t>
  </si>
  <si>
    <t>ANO</t>
  </si>
  <si>
    <t>Nutné k fungování školy</t>
  </si>
  <si>
    <t>Platba za podporu systému PROXIO (Marbes) pro STAG (platba je za všechy kvartály 1-4)</t>
  </si>
  <si>
    <t>Platba za uživatele IS Magion</t>
  </si>
  <si>
    <t xml:space="preserve"> IS Magion platby nad rámec - nové funkc. Migrace</t>
  </si>
  <si>
    <t>Rozvojový</t>
  </si>
  <si>
    <t>IT ROZPOČET 011123</t>
  </si>
  <si>
    <t>Licence</t>
  </si>
  <si>
    <t>Adobe - obnova licence - 31 stálých licencí</t>
  </si>
  <si>
    <t>Adobe používají ateliéry a pedagogové</t>
  </si>
  <si>
    <t>Corel - obnova licence / patřil ALMA - nebude obnovena/</t>
  </si>
  <si>
    <t>Z</t>
  </si>
  <si>
    <t>Extensis Portfolio - obnova licence - p.Dětinský</t>
  </si>
  <si>
    <t>Multimediální archiv - Radek Dětinský, ateliéry, pracoviště</t>
  </si>
  <si>
    <t>Ostatní drobné SW</t>
  </si>
  <si>
    <t>Bezpečnost. QTS, TAGRA atd.</t>
  </si>
  <si>
    <t>Ostatní (Aplikace)</t>
  </si>
  <si>
    <t>Bezpečnost</t>
  </si>
  <si>
    <t>LAN</t>
  </si>
  <si>
    <t>Kyberbezpečnost (segmentace sítě / re-konfigurace AD / školení / centrální logování)</t>
  </si>
  <si>
    <t>NE</t>
  </si>
  <si>
    <t>CPR-KYBER22</t>
  </si>
  <si>
    <t>Přechod na Cisco VPN z SSTP - licence a implementace (bezpečnost)</t>
  </si>
  <si>
    <t>Podpora</t>
  </si>
  <si>
    <t>MKB Smlouva konzultace pří řízení IT – leden - prosinec</t>
  </si>
  <si>
    <t>JZ</t>
  </si>
  <si>
    <t>CRP-KYBER 011814</t>
  </si>
  <si>
    <t>Poradenství v oblasti vedení IT - MKB</t>
  </si>
  <si>
    <t>Architekt Smlouva konzultace pří řízení IT – leden - prosinec</t>
  </si>
  <si>
    <t>Poradenství v oblati vedení IT</t>
  </si>
  <si>
    <t>Provedení auditu kybernetické bezpečnosti</t>
  </si>
  <si>
    <t>Provedení penetračního testování </t>
  </si>
  <si>
    <t>SW Pentest tools (MKB pro kontrolu vyvíjených aplikací a sítě)</t>
  </si>
  <si>
    <t>Testování software, důležité pro odstraňování hrozeb</t>
  </si>
  <si>
    <t>Ostatní (Bezpečnost)</t>
  </si>
  <si>
    <t>Infrastruktura</t>
  </si>
  <si>
    <t>Servery (disky, moduly, RAM)</t>
  </si>
  <si>
    <t>NPO</t>
  </si>
  <si>
    <t>RAM 60k, Disk 6k, modul 10k</t>
  </si>
  <si>
    <t>Switche</t>
  </si>
  <si>
    <t>Switche (switche + příslušenství)</t>
  </si>
  <si>
    <t>I</t>
  </si>
  <si>
    <t>Nutné k fungování školy - zvolit jinou náhradu</t>
  </si>
  <si>
    <t>Disková pole</t>
  </si>
  <si>
    <t>Výměna  disků v NAS  (5 náhradních - většina 5 let stará / 12T pod zárukou, 4T nejvíce)</t>
  </si>
  <si>
    <t>Výměna pro VVP</t>
  </si>
  <si>
    <t>NAS</t>
  </si>
  <si>
    <t xml:space="preserve">Náhrada 2x NAS </t>
  </si>
  <si>
    <t>Budova MG</t>
  </si>
  <si>
    <t xml:space="preserve">Hlavní serverovna (záplavové čidla) </t>
  </si>
  <si>
    <t>Bezpečnost serveroven pro zatečení</t>
  </si>
  <si>
    <t xml:space="preserve">Záložní serverovna (záplavové čidla) </t>
  </si>
  <si>
    <t xml:space="preserve">Prodlužování záruk - infrastruktura (servery, diskové pole atd.) </t>
  </si>
  <si>
    <t>Bylo pořízeno, pro diskové pole, které nebylo v záruce, nutné pro uchování dat</t>
  </si>
  <si>
    <t>Antivirus na NAS (dokup licencí)</t>
  </si>
  <si>
    <t>S</t>
  </si>
  <si>
    <t>Antivirus pro NAS školy</t>
  </si>
  <si>
    <t>Acronis - obnova licence</t>
  </si>
  <si>
    <t>Bezpečnostní, antivirový a zálohovací software</t>
  </si>
  <si>
    <t>Vmware - obnova licence jednou za 3 roky! Obnoveno 2024</t>
  </si>
  <si>
    <t>Virtualizace serverů, nutná obnova licence</t>
  </si>
  <si>
    <t>Licence switche cisco</t>
  </si>
  <si>
    <t>Licence k páteřnímu switchi</t>
  </si>
  <si>
    <t>Microsoft - Defender + M365 roční obnova licence (nárust ntb/PC)</t>
  </si>
  <si>
    <t>Použítí pro celou školu Microsoft Windows, Server, Office, atd.</t>
  </si>
  <si>
    <t>Zabbix – Rozšíření funkcí</t>
  </si>
  <si>
    <t>ANO i NE</t>
  </si>
  <si>
    <t>Nepřetržitý monitoring celé sítě</t>
  </si>
  <si>
    <t>Projekt</t>
  </si>
  <si>
    <r>
      <rPr>
        <sz val="11"/>
        <color rgb="FF000000"/>
        <rFont val="Calibri"/>
        <family val="2"/>
        <charset val="238"/>
      </rPr>
      <t xml:space="preserve">System Center Configuration Manager (nákup SW nárůst 90 NTB nová technika) - </t>
    </r>
    <r>
      <rPr>
        <sz val="11"/>
        <color rgb="FFFF0000"/>
        <rFont val="Calibri"/>
        <family val="2"/>
        <charset val="238"/>
      </rPr>
      <t>nacenit</t>
    </r>
    <r>
      <rPr>
        <sz val="11"/>
        <color rgb="FF000000"/>
        <rFont val="Calibri"/>
        <family val="2"/>
        <charset val="238"/>
      </rPr>
      <t xml:space="preserve"> </t>
    </r>
  </si>
  <si>
    <t>SW vyvinutý Microsoftem pro správu velkých skupin počítačů, dálkové ovládání.</t>
  </si>
  <si>
    <t>Backupexec - obnova licence</t>
  </si>
  <si>
    <t>Fortigate? Upřesnít</t>
  </si>
  <si>
    <t>Podpora SW technika.avu.cz + další SW VVP</t>
  </si>
  <si>
    <t>rozvoj projektů technika.avu.cz atd.</t>
  </si>
  <si>
    <t>User management</t>
  </si>
  <si>
    <t>kabeláž, zasíťování</t>
  </si>
  <si>
    <t>Sítě</t>
  </si>
  <si>
    <t>Zásuvky + předělání centrální síťového bodu rack (technický tunel)</t>
  </si>
  <si>
    <t>Vytvoření nových zásuvek po škole</t>
  </si>
  <si>
    <t>Koncová zařízení</t>
  </si>
  <si>
    <t>Spotřební materiál</t>
  </si>
  <si>
    <t>Periferie (klávesnice, redukce, adaptéry, ap.)</t>
  </si>
  <si>
    <t>Výměna klávesnice, myší atd.</t>
  </si>
  <si>
    <t>spotřební materiál (tonery atd.)</t>
  </si>
  <si>
    <t>Výměna stanic - cca 20 ks / rok (pouze instalace nově nakoupené technicky / kontrola smlouvy)</t>
  </si>
  <si>
    <t>Počítače mimo support</t>
  </si>
  <si>
    <t>Opravy</t>
  </si>
  <si>
    <t>Opravy HW</t>
  </si>
  <si>
    <t>AV</t>
  </si>
  <si>
    <t>AV technika - místnosti AULA, č.6, č.306, MG, Veletržní + opravy</t>
  </si>
  <si>
    <t>Č</t>
  </si>
  <si>
    <t>Servis techniky, projektory, plátna a repro do AULA</t>
  </si>
  <si>
    <t>Hardware</t>
  </si>
  <si>
    <t>Výměna stanic - cca 20 ks /rok (nákup) - pravidelná obměna zastaralých</t>
  </si>
  <si>
    <t>Výměna PC z důvodu bezpečnosti, nebude podpora Windows 10</t>
  </si>
  <si>
    <t>Monitory, tiskárny</t>
  </si>
  <si>
    <t>Výměna HW</t>
  </si>
  <si>
    <t>Smlouva Konica - velké tiskárny (č.smlouvy: 42192290, č.smlouvy: 42189900)</t>
  </si>
  <si>
    <t>Nová smlouva, nákup nových tiskáren do Archív atd.</t>
  </si>
  <si>
    <t>Objekty</t>
  </si>
  <si>
    <t>LAN (switch, router + racky)</t>
  </si>
  <si>
    <t>Nákup HW</t>
  </si>
  <si>
    <t>WAN</t>
  </si>
  <si>
    <t>Wireless (nákup nových AP)</t>
  </si>
  <si>
    <t>Nákup HW - Rozšíření WIFI signálu a obměna prvků</t>
  </si>
  <si>
    <t>Ostatní (sítě)</t>
  </si>
  <si>
    <t>Smlouva externí dodavatel - Správa sítě</t>
  </si>
  <si>
    <t>Správá sítě</t>
  </si>
  <si>
    <t>Práce Balcom + rezerva - NAS, MS Teams skupiny, support při migraci na SQL HA, Sharepoint, podpora nové ateliéry</t>
  </si>
  <si>
    <t>Win servery, O365</t>
  </si>
  <si>
    <t>Smlouva externí dodavatel - Správa WIN serverů, O365</t>
  </si>
  <si>
    <t>Správa O365 , Win servery</t>
  </si>
  <si>
    <t>Školení a poplatky</t>
  </si>
  <si>
    <t>Poplatky</t>
  </si>
  <si>
    <t>Cesnet - členský poplatek</t>
  </si>
  <si>
    <t>Internet, služby, cloud, rozvoj, apod. nutná obnova</t>
  </si>
  <si>
    <t>Eunis - členský poplatek</t>
  </si>
  <si>
    <t>Mj. sleva na licence a další výhody pro vysoké školy, nutná obnova</t>
  </si>
  <si>
    <t>Ostatní (školení)</t>
  </si>
  <si>
    <t>školení pro IT zaměstnance</t>
  </si>
  <si>
    <t>Linkedin</t>
  </si>
  <si>
    <t>STAG</t>
  </si>
  <si>
    <t>Databáze STAG – čtení a zápis</t>
  </si>
  <si>
    <t>Technologický upgrade - Zálohovacího serveru</t>
  </si>
  <si>
    <t>Databáze STAG – Doprogramování modulu pro Integrator AD</t>
  </si>
  <si>
    <t>Upgrade AD</t>
  </si>
  <si>
    <t>Databáze STAG – požadavek studijního oddělení na doplňování dat</t>
  </si>
  <si>
    <t>Active Directory</t>
  </si>
  <si>
    <t>Zrušení LDAP a vytvoření automatických účtu EDUROAM</t>
  </si>
  <si>
    <t>Správa všech aktivních prvků</t>
  </si>
  <si>
    <t>Servery</t>
  </si>
  <si>
    <t>Technologický upgrade serverů Kronos, Nemesis, Zeus3 - Windows Server 2022, Hypervisor</t>
  </si>
  <si>
    <t>Technologický a bezpečnostní upgrade serveru</t>
  </si>
  <si>
    <t>NVR</t>
  </si>
  <si>
    <t>NVR - nový kamerový systém</t>
  </si>
  <si>
    <t>Výměna velkokapacitního diskového pole - 2025 /starému nelze prodloužit záruka/</t>
  </si>
  <si>
    <t>Výměna hlavních serverů - nákup 2012 - /dp PO ZÁRUCE , Porrfolio/</t>
  </si>
  <si>
    <t>Dodatek č.1 - AVU_P23-027 - Zálohování do Cloudu - CESNET nebo Azure</t>
  </si>
  <si>
    <t>ŠKOLA 99999</t>
  </si>
  <si>
    <t>Druhá záloha systému mimo AVU</t>
  </si>
  <si>
    <t>Wi-Fi</t>
  </si>
  <si>
    <r>
      <t xml:space="preserve">Přechod na Wi-Fi AC a navýšení AP kvůli rozsahu signálu - 2. fáze - </t>
    </r>
    <r>
      <rPr>
        <b/>
        <sz val="11"/>
        <rFont val="Calibri"/>
        <family val="2"/>
        <charset val="238"/>
      </rPr>
      <t>HOTOVO</t>
    </r>
  </si>
  <si>
    <t>Office</t>
  </si>
  <si>
    <t>Přechod na nejnovější Exchange - technologický upgrade</t>
  </si>
  <si>
    <t xml:space="preserve">Skupiny Outlook – Doprogramovat rozdělení skupin podle AD </t>
  </si>
  <si>
    <t>Bzepečnostní update a sjednocení platformy</t>
  </si>
  <si>
    <t>ZEUS 3 - náhrada</t>
  </si>
  <si>
    <t>Síťová infrastruktůra - Veletržní</t>
  </si>
  <si>
    <t>Rozšíření sítí, případný nákup AP</t>
  </si>
  <si>
    <t>Web - podpora + rozvoj (SLA Brainz)</t>
  </si>
  <si>
    <t>Web AVU - základní SLA Brainz</t>
  </si>
  <si>
    <t>FortiGate - kyber útok od 2025 nahradí CISCO - úspora v dalších letech  - vyčíslíme</t>
  </si>
  <si>
    <t>propojení AD a magionu</t>
  </si>
  <si>
    <t>??? OP JAK, NPO</t>
  </si>
  <si>
    <t>očekáváný náklad</t>
  </si>
  <si>
    <t xml:space="preserve">propojení AD a STAG (Markovič - propojení s karty) </t>
  </si>
  <si>
    <t>Projekty malé</t>
  </si>
  <si>
    <t>ŠKOLA, OP JAK, NPO</t>
  </si>
  <si>
    <t>Projekty střední</t>
  </si>
  <si>
    <t>Projekty velké</t>
  </si>
  <si>
    <t>Rezerva ostatní</t>
  </si>
  <si>
    <t>REZERVA NPO</t>
  </si>
  <si>
    <t>E = již existující výdaj</t>
  </si>
  <si>
    <t>N = nový výdaj</t>
  </si>
  <si>
    <t>JZ = jiné zdroje</t>
  </si>
  <si>
    <t>NE = již nexistující výdaj</t>
  </si>
  <si>
    <t>Z = zrušeno</t>
  </si>
  <si>
    <t>Č = částečně</t>
  </si>
  <si>
    <t>Legenda</t>
  </si>
  <si>
    <t>Stihne nebo hotovo</t>
  </si>
  <si>
    <t>Zatím neurčeno</t>
  </si>
  <si>
    <t>Pravděpodobně nestihne</t>
  </si>
  <si>
    <t>Možná bude placeno z projektu, případná část</t>
  </si>
  <si>
    <t>Možné vynechat - zrušeno</t>
  </si>
  <si>
    <t>Použito pro VZ - dodavatel IT techniky</t>
  </si>
  <si>
    <t>Nelze tyto finance uplatnit z některého projektu?</t>
  </si>
  <si>
    <t>Projekty</t>
  </si>
  <si>
    <t xml:space="preserve">Sochařství 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</si>
</sst>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\ &quot;Kč&quot;"/>
    <numFmt numFmtId="167" formatCode="#,##0.00\ _K_č"/>
    <numFmt numFmtId="168" formatCode="#,##0.000"/>
    <numFmt numFmtId="169" formatCode="000\ 00"/>
    <numFmt numFmtId="170" formatCode="#,##0_ ;[Red]\-#,##0\ "/>
    <numFmt numFmtId="171" formatCode="_-* #,##0\ _K_č_-;\-* #,##0\ _K_č_-;_-* &quot;-&quot;??\ _K_č_-;_-@_-"/>
    <numFmt numFmtId="172" formatCode="#,##0&quot; Kč&quot;"/>
  </numFmts>
  <fonts count="118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rgb="FF08000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rgb="FF000000"/>
      <name val="Aptos Narrow"/>
      <family val="2"/>
      <scheme val="minor"/>
    </font>
    <font>
      <u/>
      <sz val="10"/>
      <color theme="1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u/>
      <sz val="10"/>
      <color theme="1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scheme val="minor"/>
    </font>
    <font>
      <u/>
      <sz val="10"/>
      <color rgb="FF467886"/>
      <name val="Aptos Narrow"/>
      <family val="2"/>
      <charset val="238"/>
      <scheme val="minor"/>
    </font>
    <font>
      <sz val="10"/>
      <color rgb="FF222222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4B5668"/>
      <name val="Aptos Narrow"/>
      <family val="2"/>
      <scheme val="minor"/>
    </font>
    <font>
      <u/>
      <sz val="10"/>
      <color rgb="FF467886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</font>
    <font>
      <sz val="10"/>
      <color rgb="FFFF0000"/>
      <name val="Aptos Narrow"/>
      <family val="2"/>
    </font>
    <font>
      <sz val="10"/>
      <color theme="1"/>
      <name val="Arial"/>
      <family val="2"/>
    </font>
    <font>
      <i/>
      <sz val="10"/>
      <color rgb="FFE69138"/>
      <name val="Arial"/>
      <family val="2"/>
    </font>
    <font>
      <sz val="10"/>
      <color rgb="FF000000"/>
      <name val="Arial"/>
      <family val="2"/>
    </font>
    <font>
      <sz val="10"/>
      <color rgb="FFE69138"/>
      <name val="Arial"/>
      <family val="2"/>
    </font>
    <font>
      <b/>
      <sz val="10"/>
      <color rgb="FF000000"/>
      <name val="Aptos Narrow"/>
      <family val="2"/>
      <scheme val="minor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Helvetica"/>
    </font>
    <font>
      <sz val="10"/>
      <color rgb="FF000000"/>
      <name val="System-Ui"/>
      <charset val="1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rgb="FF006100"/>
      <name val="Calibri"/>
      <family val="2"/>
      <charset val="1"/>
    </font>
    <font>
      <sz val="11"/>
      <color rgb="FF9C5700"/>
      <name val="Calibri"/>
      <family val="2"/>
      <charset val="1"/>
    </font>
    <font>
      <sz val="11"/>
      <color rgb="FF9C0006"/>
      <name val="Calibri"/>
      <family val="2"/>
      <charset val="1"/>
    </font>
    <font>
      <sz val="10"/>
      <name val="MS Sans Serif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theme="1"/>
      <name val="Aptos Narrow"/>
      <family val="2"/>
      <scheme val="minor"/>
    </font>
    <font>
      <b/>
      <sz val="18"/>
      <name val="Arial"/>
      <family val="2"/>
      <charset val="238"/>
    </font>
    <font>
      <b/>
      <sz val="18"/>
      <color theme="3"/>
      <name val="Aptos Display"/>
      <family val="2"/>
      <charset val="238"/>
      <scheme val="major"/>
    </font>
    <font>
      <sz val="11"/>
      <color rgb="FF9C6500"/>
      <name val="Aptos Narrow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color rgb="FFFF0000"/>
      <name val="Aptos Narrow"/>
      <family val="2"/>
      <charset val="238"/>
      <scheme val="minor"/>
    </font>
    <font>
      <sz val="10"/>
      <color rgb="FF000000"/>
      <name val="Aptos"/>
      <family val="2"/>
    </font>
    <font>
      <b/>
      <sz val="10"/>
      <color rgb="FF000000"/>
      <name val="Inherit"/>
    </font>
    <font>
      <b/>
      <i/>
      <sz val="10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i/>
      <sz val="11"/>
      <color theme="1"/>
      <name val="Aptos Narrow"/>
      <family val="2"/>
      <charset val="238"/>
      <scheme val="minor"/>
    </font>
    <font>
      <u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i/>
      <sz val="1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color rgb="FF000000"/>
      <name val="Arial"/>
      <family val="2"/>
      <charset val="238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name val="Calibri"/>
      <family val="2"/>
      <charset val="238"/>
    </font>
    <font>
      <b/>
      <sz val="9"/>
      <name val="Calibri"/>
      <family val="2"/>
      <charset val="238"/>
    </font>
    <font>
      <sz val="10"/>
      <color theme="1"/>
      <name val="Avu"/>
      <charset val="238"/>
    </font>
    <font>
      <b/>
      <sz val="10"/>
      <color theme="1"/>
      <name val="Avu"/>
      <charset val="238"/>
    </font>
    <font>
      <b/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i/>
      <sz val="11"/>
      <color theme="1"/>
      <name val="Aptos Narrow"/>
      <family val="2"/>
      <charset val="238"/>
      <scheme val="minor"/>
    </font>
    <font>
      <b/>
      <i/>
      <sz val="9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i/>
      <sz val="9"/>
      <color theme="1"/>
      <name val="Aptos Narrow"/>
      <family val="2"/>
      <charset val="238"/>
      <scheme val="minor"/>
    </font>
    <font>
      <i/>
      <sz val="10"/>
      <color rgb="FFFF0000"/>
      <name val="MS Sans Serif"/>
      <charset val="238"/>
    </font>
    <font>
      <sz val="10"/>
      <color rgb="FFFF0000"/>
      <name val="MS Sans Serif"/>
      <charset val="238"/>
    </font>
    <font>
      <b/>
      <sz val="1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b/>
      <sz val="10"/>
      <color rgb="FFFF0000"/>
      <name val="MS Sans Serif"/>
      <charset val="238"/>
    </font>
    <font>
      <i/>
      <sz val="11"/>
      <name val="Aptos Narrow"/>
      <family val="2"/>
      <charset val="238"/>
      <scheme val="minor"/>
    </font>
    <font>
      <i/>
      <sz val="11"/>
      <color rgb="FFFF0000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vu"/>
      <charset val="238"/>
    </font>
    <font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name val="Calibri"/>
      <family val="2"/>
    </font>
    <font>
      <sz val="8"/>
      <color theme="1"/>
      <name val="Avu"/>
      <charset val="238"/>
    </font>
    <font>
      <b/>
      <sz val="8"/>
      <color theme="1"/>
      <name val="Avu"/>
      <charset val="238"/>
    </font>
  </fonts>
  <fills count="8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  <bgColor rgb="FFDEEBF7"/>
      </patternFill>
    </fill>
    <fill>
      <patternFill patternType="solid">
        <fgColor rgb="FFFFEB9C"/>
        <bgColor rgb="FFE7E6E6"/>
      </patternFill>
    </fill>
    <fill>
      <patternFill patternType="solid">
        <fgColor rgb="FFFFC7CE"/>
        <bgColor rgb="FFE7E6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ADADAD"/>
        <bgColor rgb="FF000000"/>
      </patternFill>
    </fill>
    <fill>
      <patternFill patternType="solid">
        <fgColor rgb="FFF5918F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3CEF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DD7EE"/>
      </patternFill>
    </fill>
    <fill>
      <patternFill patternType="solid">
        <fgColor rgb="FFFFFF00"/>
        <bgColor rgb="FFBDD7EE"/>
      </patternFill>
    </fill>
    <fill>
      <patternFill patternType="solid">
        <fgColor theme="7" tint="0.39997558519241921"/>
        <bgColor rgb="FFBDD7EE"/>
      </patternFill>
    </fill>
    <fill>
      <patternFill patternType="solid">
        <fgColor theme="2"/>
        <bgColor rgb="FFBDD7EE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6" tint="0.59999389629810485"/>
        <bgColor rgb="FFBDD7EE"/>
      </patternFill>
    </fill>
    <fill>
      <patternFill patternType="solid">
        <fgColor rgb="FFF2F2F2"/>
        <bgColor rgb="FFE7E6E6"/>
      </patternFill>
    </fill>
    <fill>
      <patternFill patternType="solid">
        <fgColor theme="9" tint="0.59999389629810485"/>
        <bgColor rgb="FFDEEBF7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DEEBF7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rgb="FFE7E6E6"/>
      </patternFill>
    </fill>
    <fill>
      <patternFill patternType="solid">
        <fgColor theme="5" tint="0.39997558519241921"/>
        <bgColor rgb="FFDEEBF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rgb="FFE7E6E6"/>
      </patternFill>
    </fill>
    <fill>
      <patternFill patternType="solid">
        <fgColor rgb="FFC00000"/>
        <bgColor rgb="FFE7E6E6"/>
      </patternFill>
    </fill>
    <fill>
      <patternFill patternType="solid">
        <fgColor rgb="FF00B050"/>
        <bgColor rgb="FFE7E6E6"/>
      </patternFill>
    </fill>
    <fill>
      <patternFill patternType="solid">
        <fgColor rgb="FFFF0000"/>
        <bgColor rgb="FFE7E6E6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5" fillId="5" borderId="0">
      <alignment horizontal="right" vertical="top"/>
    </xf>
    <xf numFmtId="0" fontId="41" fillId="0" borderId="0" applyNumberFormat="0" applyFill="0" applyBorder="0" applyAlignment="0" applyProtection="0"/>
    <xf numFmtId="0" fontId="42" fillId="0" borderId="42" applyNumberFormat="0" applyFill="0" applyAlignment="0" applyProtection="0"/>
    <xf numFmtId="0" fontId="43" fillId="0" borderId="43" applyNumberFormat="0" applyFill="0" applyAlignment="0" applyProtection="0"/>
    <xf numFmtId="0" fontId="44" fillId="0" borderId="44" applyNumberFormat="0" applyFill="0" applyAlignment="0" applyProtection="0"/>
    <xf numFmtId="0" fontId="44" fillId="0" borderId="0" applyNumberFormat="0" applyFill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7" fillId="13" borderId="0" applyNumberFormat="0" applyBorder="0" applyAlignment="0" applyProtection="0"/>
    <xf numFmtId="0" fontId="48" fillId="14" borderId="45" applyNumberFormat="0" applyAlignment="0" applyProtection="0"/>
    <xf numFmtId="0" fontId="49" fillId="15" borderId="46" applyNumberFormat="0" applyAlignment="0" applyProtection="0"/>
    <xf numFmtId="0" fontId="50" fillId="15" borderId="45" applyNumberFormat="0" applyAlignment="0" applyProtection="0"/>
    <xf numFmtId="0" fontId="51" fillId="0" borderId="47" applyNumberFormat="0" applyFill="0" applyAlignment="0" applyProtection="0"/>
    <xf numFmtId="0" fontId="52" fillId="16" borderId="48" applyNumberFormat="0" applyAlignment="0" applyProtection="0"/>
    <xf numFmtId="0" fontId="53" fillId="0" borderId="0" applyNumberFormat="0" applyFill="0" applyBorder="0" applyAlignment="0" applyProtection="0"/>
    <xf numFmtId="0" fontId="40" fillId="17" borderId="49" applyNumberFormat="0" applyFont="0" applyAlignment="0" applyProtection="0"/>
    <xf numFmtId="0" fontId="54" fillId="0" borderId="0" applyNumberFormat="0" applyFill="0" applyBorder="0" applyAlignment="0" applyProtection="0"/>
    <xf numFmtId="0" fontId="1" fillId="0" borderId="50" applyNumberFormat="0" applyFill="0" applyAlignment="0" applyProtection="0"/>
    <xf numFmtId="0" fontId="55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55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55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55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5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55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164" fontId="40" fillId="0" borderId="0" applyFont="0" applyFill="0" applyBorder="0" applyAlignment="0" applyProtection="0"/>
    <xf numFmtId="0" fontId="56" fillId="42" borderId="0" applyBorder="0" applyProtection="0"/>
    <xf numFmtId="0" fontId="57" fillId="43" borderId="0" applyBorder="0" applyProtection="0"/>
    <xf numFmtId="0" fontId="58" fillId="44" borderId="0" applyBorder="0" applyProtection="0"/>
    <xf numFmtId="0" fontId="59" fillId="0" borderId="0"/>
    <xf numFmtId="0" fontId="60" fillId="0" borderId="0"/>
    <xf numFmtId="0" fontId="61" fillId="0" borderId="0"/>
    <xf numFmtId="0" fontId="62" fillId="0" borderId="0"/>
    <xf numFmtId="0" fontId="38" fillId="0" borderId="0"/>
    <xf numFmtId="164" fontId="40" fillId="0" borderId="0" applyFont="0" applyFill="0" applyBorder="0" applyAlignment="0" applyProtection="0"/>
    <xf numFmtId="0" fontId="5" fillId="5" borderId="0">
      <alignment horizontal="left" vertical="top"/>
    </xf>
    <xf numFmtId="0" fontId="63" fillId="0" borderId="0" applyFont="0"/>
    <xf numFmtId="0" fontId="38" fillId="0" borderId="0"/>
    <xf numFmtId="0" fontId="38" fillId="0" borderId="0"/>
    <xf numFmtId="0" fontId="40" fillId="0" borderId="0"/>
    <xf numFmtId="0" fontId="38" fillId="0" borderId="0"/>
    <xf numFmtId="9" fontId="40" fillId="0" borderId="0" applyFont="0" applyFill="0" applyBorder="0" applyAlignment="0" applyProtection="0"/>
    <xf numFmtId="0" fontId="40" fillId="0" borderId="0"/>
    <xf numFmtId="0" fontId="37" fillId="0" borderId="0"/>
    <xf numFmtId="0" fontId="64" fillId="0" borderId="0" applyNumberFormat="0" applyFill="0" applyBorder="0" applyAlignment="0" applyProtection="0"/>
    <xf numFmtId="0" fontId="65" fillId="13" borderId="0" applyNumberFormat="0" applyBorder="0" applyAlignment="0" applyProtection="0"/>
    <xf numFmtId="0" fontId="59" fillId="0" borderId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9" fontId="40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90">
    <xf numFmtId="0" fontId="0" fillId="0" borderId="0" xfId="0"/>
    <xf numFmtId="0" fontId="6" fillId="0" borderId="0" xfId="0" applyFont="1"/>
    <xf numFmtId="3" fontId="6" fillId="0" borderId="7" xfId="0" applyNumberFormat="1" applyFont="1" applyBorder="1"/>
    <xf numFmtId="3" fontId="6" fillId="0" borderId="0" xfId="0" applyNumberFormat="1" applyFont="1"/>
    <xf numFmtId="0" fontId="12" fillId="0" borderId="7" xfId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0" xfId="0" applyFont="1" applyAlignment="1">
      <alignment wrapText="1"/>
    </xf>
    <xf numFmtId="0" fontId="15" fillId="7" borderId="7" xfId="1" applyFont="1" applyFill="1" applyBorder="1" applyAlignment="1">
      <alignment wrapText="1"/>
    </xf>
    <xf numFmtId="0" fontId="6" fillId="0" borderId="7" xfId="0" applyFont="1" applyBorder="1"/>
    <xf numFmtId="0" fontId="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3" fontId="11" fillId="0" borderId="7" xfId="0" applyNumberFormat="1" applyFont="1" applyBorder="1" applyAlignment="1">
      <alignment wrapText="1"/>
    </xf>
    <xf numFmtId="3" fontId="16" fillId="0" borderId="7" xfId="0" applyNumberFormat="1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3" fillId="0" borderId="0" xfId="0" applyFont="1"/>
    <xf numFmtId="0" fontId="17" fillId="0" borderId="7" xfId="0" applyFont="1" applyBorder="1" applyAlignment="1">
      <alignment wrapText="1"/>
    </xf>
    <xf numFmtId="6" fontId="16" fillId="0" borderId="7" xfId="0" applyNumberFormat="1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6" fillId="0" borderId="7" xfId="0" applyFont="1" applyBorder="1"/>
    <xf numFmtId="0" fontId="20" fillId="0" borderId="7" xfId="1" applyFont="1" applyFill="1" applyBorder="1" applyAlignment="1">
      <alignment wrapText="1"/>
    </xf>
    <xf numFmtId="0" fontId="19" fillId="0" borderId="0" xfId="0" applyFont="1"/>
    <xf numFmtId="8" fontId="11" fillId="0" borderId="7" xfId="0" applyNumberFormat="1" applyFont="1" applyBorder="1" applyAlignment="1">
      <alignment wrapText="1"/>
    </xf>
    <xf numFmtId="6" fontId="11" fillId="0" borderId="7" xfId="0" applyNumberFormat="1" applyFont="1" applyBorder="1" applyAlignment="1">
      <alignment wrapText="1"/>
    </xf>
    <xf numFmtId="0" fontId="11" fillId="0" borderId="0" xfId="0" applyFont="1"/>
    <xf numFmtId="0" fontId="22" fillId="0" borderId="0" xfId="0" applyFont="1" applyAlignment="1">
      <alignment vertical="center" wrapText="1"/>
    </xf>
    <xf numFmtId="0" fontId="20" fillId="0" borderId="7" xfId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wrapText="1"/>
    </xf>
    <xf numFmtId="0" fontId="20" fillId="0" borderId="7" xfId="1" applyFont="1" applyFill="1" applyBorder="1" applyAlignment="1">
      <alignment horizontal="left" wrapText="1"/>
    </xf>
    <xf numFmtId="0" fontId="1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7" xfId="0" applyFont="1" applyBorder="1"/>
    <xf numFmtId="0" fontId="22" fillId="0" borderId="18" xfId="0" applyFont="1" applyBorder="1" applyAlignment="1">
      <alignment wrapText="1"/>
    </xf>
    <xf numFmtId="0" fontId="21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top" wrapText="1"/>
    </xf>
    <xf numFmtId="0" fontId="11" fillId="0" borderId="17" xfId="0" applyFont="1" applyBorder="1" applyAlignment="1">
      <alignment wrapText="1"/>
    </xf>
    <xf numFmtId="0" fontId="1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wrapText="1"/>
    </xf>
    <xf numFmtId="0" fontId="11" fillId="0" borderId="18" xfId="0" applyFont="1" applyBorder="1" applyAlignment="1">
      <alignment horizontal="left" wrapText="1"/>
    </xf>
    <xf numFmtId="49" fontId="6" fillId="2" borderId="7" xfId="0" applyNumberFormat="1" applyFont="1" applyFill="1" applyBorder="1" applyAlignment="1">
      <alignment wrapText="1"/>
    </xf>
    <xf numFmtId="0" fontId="13" fillId="0" borderId="7" xfId="0" applyFont="1" applyBorder="1" applyAlignment="1">
      <alignment wrapText="1"/>
    </xf>
    <xf numFmtId="0" fontId="14" fillId="0" borderId="7" xfId="0" applyFont="1" applyBorder="1" applyAlignment="1">
      <alignment wrapText="1"/>
    </xf>
    <xf numFmtId="3" fontId="16" fillId="0" borderId="7" xfId="0" applyNumberFormat="1" applyFont="1" applyBorder="1"/>
    <xf numFmtId="0" fontId="6" fillId="0" borderId="7" xfId="0" applyFont="1" applyBorder="1" applyAlignment="1">
      <alignment horizontal="left"/>
    </xf>
    <xf numFmtId="6" fontId="11" fillId="0" borderId="7" xfId="0" applyNumberFormat="1" applyFont="1" applyBorder="1" applyAlignment="1">
      <alignment horizontal="left"/>
    </xf>
    <xf numFmtId="0" fontId="16" fillId="0" borderId="7" xfId="0" applyFont="1" applyBorder="1" applyAlignment="1">
      <alignment horizontal="left" vertical="top"/>
    </xf>
    <xf numFmtId="49" fontId="6" fillId="2" borderId="26" xfId="0" applyNumberFormat="1" applyFont="1" applyFill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wrapText="1"/>
    </xf>
    <xf numFmtId="0" fontId="12" fillId="0" borderId="21" xfId="1" applyFont="1" applyBorder="1" applyAlignment="1">
      <alignment wrapText="1"/>
    </xf>
    <xf numFmtId="0" fontId="3" fillId="0" borderId="7" xfId="1" applyBorder="1"/>
    <xf numFmtId="0" fontId="8" fillId="0" borderId="7" xfId="0" applyFont="1" applyBorder="1"/>
    <xf numFmtId="0" fontId="23" fillId="0" borderId="7" xfId="0" applyFont="1" applyBorder="1" applyAlignment="1">
      <alignment wrapText="1"/>
    </xf>
    <xf numFmtId="0" fontId="23" fillId="0" borderId="18" xfId="0" applyFont="1" applyBorder="1" applyAlignment="1">
      <alignment wrapText="1"/>
    </xf>
    <xf numFmtId="0" fontId="23" fillId="0" borderId="0" xfId="0" applyFont="1"/>
    <xf numFmtId="0" fontId="16" fillId="0" borderId="21" xfId="0" applyFont="1" applyBorder="1" applyAlignment="1">
      <alignment horizontal="right" wrapText="1"/>
    </xf>
    <xf numFmtId="0" fontId="16" fillId="0" borderId="7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7" xfId="0" applyFont="1" applyBorder="1" applyAlignment="1">
      <alignment horizontal="right" vertical="top" wrapText="1"/>
    </xf>
    <xf numFmtId="0" fontId="6" fillId="0" borderId="0" xfId="0" applyFont="1" applyAlignment="1">
      <alignment horizontal="right"/>
    </xf>
    <xf numFmtId="0" fontId="3" fillId="0" borderId="7" xfId="1" applyBorder="1" applyAlignment="1">
      <alignment wrapText="1"/>
    </xf>
    <xf numFmtId="0" fontId="6" fillId="0" borderId="21" xfId="0" applyFont="1" applyBorder="1"/>
    <xf numFmtId="3" fontId="23" fillId="0" borderId="7" xfId="0" applyNumberFormat="1" applyFont="1" applyBorder="1" applyAlignment="1">
      <alignment wrapText="1"/>
    </xf>
    <xf numFmtId="0" fontId="12" fillId="0" borderId="18" xfId="1" applyFont="1" applyFill="1" applyBorder="1" applyAlignment="1">
      <alignment wrapText="1"/>
    </xf>
    <xf numFmtId="0" fontId="12" fillId="0" borderId="0" xfId="1" applyFont="1" applyFill="1" applyAlignment="1">
      <alignment vertical="center" wrapText="1"/>
    </xf>
    <xf numFmtId="0" fontId="12" fillId="0" borderId="0" xfId="1" applyFont="1" applyFill="1"/>
    <xf numFmtId="0" fontId="12" fillId="0" borderId="25" xfId="1" applyFont="1" applyFill="1" applyBorder="1" applyAlignment="1">
      <alignment wrapText="1"/>
    </xf>
    <xf numFmtId="0" fontId="25" fillId="0" borderId="7" xfId="0" applyFont="1" applyBorder="1" applyAlignment="1">
      <alignment horizontal="left" vertical="top" wrapText="1"/>
    </xf>
    <xf numFmtId="3" fontId="25" fillId="0" borderId="7" xfId="0" applyNumberFormat="1" applyFont="1" applyBorder="1" applyAlignment="1">
      <alignment horizontal="left" vertical="top" wrapText="1"/>
    </xf>
    <xf numFmtId="0" fontId="25" fillId="0" borderId="7" xfId="0" applyFont="1" applyBorder="1" applyAlignment="1">
      <alignment horizontal="left" wrapText="1"/>
    </xf>
    <xf numFmtId="0" fontId="25" fillId="0" borderId="7" xfId="0" applyFont="1" applyBorder="1" applyAlignment="1">
      <alignment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vertical="top" wrapText="1"/>
    </xf>
    <xf numFmtId="3" fontId="27" fillId="0" borderId="7" xfId="0" applyNumberFormat="1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6" fillId="0" borderId="27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0" xfId="0" applyFont="1"/>
    <xf numFmtId="0" fontId="16" fillId="0" borderId="30" xfId="0" applyFont="1" applyBorder="1"/>
    <xf numFmtId="0" fontId="16" fillId="0" borderId="24" xfId="0" applyFont="1" applyBorder="1" applyAlignment="1">
      <alignment wrapText="1"/>
    </xf>
    <xf numFmtId="0" fontId="16" fillId="0" borderId="18" xfId="0" applyFont="1" applyBorder="1"/>
    <xf numFmtId="0" fontId="16" fillId="0" borderId="30" xfId="0" applyFont="1" applyBorder="1" applyAlignment="1">
      <alignment wrapText="1"/>
    </xf>
    <xf numFmtId="0" fontId="16" fillId="0" borderId="27" xfId="0" applyFont="1" applyBorder="1" applyAlignment="1">
      <alignment wrapText="1"/>
    </xf>
    <xf numFmtId="0" fontId="16" fillId="0" borderId="28" xfId="0" applyFont="1" applyBorder="1" applyAlignment="1">
      <alignment wrapText="1"/>
    </xf>
    <xf numFmtId="0" fontId="16" fillId="0" borderId="25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16" fillId="0" borderId="29" xfId="0" applyFont="1" applyBorder="1" applyAlignment="1">
      <alignment wrapText="1"/>
    </xf>
    <xf numFmtId="0" fontId="12" fillId="0" borderId="7" xfId="1" applyFont="1" applyFill="1" applyBorder="1" applyAlignment="1">
      <alignment wrapText="1"/>
    </xf>
    <xf numFmtId="49" fontId="16" fillId="0" borderId="7" xfId="0" applyNumberFormat="1" applyFont="1" applyBorder="1" applyAlignment="1">
      <alignment horizontal="right" wrapText="1"/>
    </xf>
    <xf numFmtId="0" fontId="31" fillId="0" borderId="7" xfId="0" applyFont="1" applyBorder="1" applyAlignment="1">
      <alignment wrapText="1"/>
    </xf>
    <xf numFmtId="3" fontId="11" fillId="0" borderId="7" xfId="0" applyNumberFormat="1" applyFont="1" applyBorder="1" applyAlignment="1">
      <alignment horizontal="right" wrapText="1"/>
    </xf>
    <xf numFmtId="0" fontId="32" fillId="0" borderId="11" xfId="0" applyFont="1" applyBorder="1" applyAlignment="1">
      <alignment horizontal="left" vertical="center"/>
    </xf>
    <xf numFmtId="0" fontId="32" fillId="0" borderId="11" xfId="0" applyFont="1" applyBorder="1"/>
    <xf numFmtId="0" fontId="32" fillId="0" borderId="7" xfId="0" applyFont="1" applyBorder="1"/>
    <xf numFmtId="0" fontId="33" fillId="0" borderId="7" xfId="0" applyFont="1" applyBorder="1" applyAlignment="1">
      <alignment wrapText="1"/>
    </xf>
    <xf numFmtId="0" fontId="16" fillId="0" borderId="32" xfId="0" applyFont="1" applyBorder="1" applyAlignment="1">
      <alignment wrapText="1"/>
    </xf>
    <xf numFmtId="3" fontId="6" fillId="0" borderId="7" xfId="0" applyNumberFormat="1" applyFont="1" applyBorder="1" applyAlignment="1">
      <alignment wrapText="1"/>
    </xf>
    <xf numFmtId="0" fontId="3" fillId="8" borderId="30" xfId="1" applyFill="1" applyBorder="1" applyAlignment="1">
      <alignment wrapText="1"/>
    </xf>
    <xf numFmtId="0" fontId="34" fillId="8" borderId="30" xfId="0" applyFont="1" applyFill="1" applyBorder="1" applyAlignment="1">
      <alignment horizontal="left" wrapText="1" readingOrder="1"/>
    </xf>
    <xf numFmtId="0" fontId="11" fillId="8" borderId="30" xfId="0" applyFont="1" applyFill="1" applyBorder="1" applyAlignment="1">
      <alignment wrapText="1"/>
    </xf>
    <xf numFmtId="0" fontId="11" fillId="8" borderId="30" xfId="0" applyFont="1" applyFill="1" applyBorder="1" applyAlignment="1">
      <alignment horizontal="right" wrapText="1"/>
    </xf>
    <xf numFmtId="0" fontId="24" fillId="0" borderId="0" xfId="0" applyFont="1"/>
    <xf numFmtId="0" fontId="34" fillId="8" borderId="30" xfId="0" applyFont="1" applyFill="1" applyBorder="1" applyAlignment="1">
      <alignment wrapText="1" readingOrder="1"/>
    </xf>
    <xf numFmtId="0" fontId="3" fillId="0" borderId="0" xfId="1"/>
    <xf numFmtId="0" fontId="24" fillId="0" borderId="30" xfId="0" applyFont="1" applyBorder="1"/>
    <xf numFmtId="0" fontId="24" fillId="0" borderId="0" xfId="0" applyFont="1" applyAlignment="1">
      <alignment wrapText="1"/>
    </xf>
    <xf numFmtId="0" fontId="3" fillId="0" borderId="0" xfId="1" applyAlignment="1">
      <alignment wrapText="1"/>
    </xf>
    <xf numFmtId="0" fontId="23" fillId="0" borderId="0" xfId="0" applyFont="1" applyAlignment="1">
      <alignment wrapText="1"/>
    </xf>
    <xf numFmtId="0" fontId="11" fillId="8" borderId="29" xfId="0" applyFont="1" applyFill="1" applyBorder="1" applyAlignment="1">
      <alignment wrapText="1"/>
    </xf>
    <xf numFmtId="0" fontId="6" fillId="0" borderId="18" xfId="0" applyFont="1" applyBorder="1"/>
    <xf numFmtId="0" fontId="3" fillId="8" borderId="29" xfId="1" applyFill="1" applyBorder="1" applyAlignment="1">
      <alignment wrapText="1"/>
    </xf>
    <xf numFmtId="0" fontId="16" fillId="0" borderId="33" xfId="0" applyFont="1" applyBorder="1" applyAlignment="1">
      <alignment wrapText="1"/>
    </xf>
    <xf numFmtId="0" fontId="35" fillId="0" borderId="7" xfId="0" applyFont="1" applyBorder="1" applyAlignment="1">
      <alignment wrapText="1"/>
    </xf>
    <xf numFmtId="0" fontId="24" fillId="0" borderId="33" xfId="0" applyFont="1" applyBorder="1" applyAlignment="1">
      <alignment wrapText="1"/>
    </xf>
    <xf numFmtId="3" fontId="34" fillId="8" borderId="30" xfId="0" applyNumberFormat="1" applyFont="1" applyFill="1" applyBorder="1" applyAlignment="1">
      <alignment horizontal="right" wrapText="1" readingOrder="1"/>
    </xf>
    <xf numFmtId="3" fontId="11" fillId="8" borderId="30" xfId="0" applyNumberFormat="1" applyFont="1" applyFill="1" applyBorder="1" applyAlignment="1">
      <alignment horizontal="right" wrapText="1"/>
    </xf>
    <xf numFmtId="3" fontId="23" fillId="0" borderId="18" xfId="0" applyNumberFormat="1" applyFont="1" applyBorder="1" applyAlignment="1">
      <alignment wrapText="1"/>
    </xf>
    <xf numFmtId="0" fontId="23" fillId="0" borderId="7" xfId="0" applyFont="1" applyBorder="1" applyAlignment="1">
      <alignment horizontal="right" wrapText="1"/>
    </xf>
    <xf numFmtId="0" fontId="23" fillId="0" borderId="33" xfId="0" applyFont="1" applyBorder="1"/>
    <xf numFmtId="0" fontId="23" fillId="0" borderId="34" xfId="0" applyFont="1" applyBorder="1"/>
    <xf numFmtId="0" fontId="38" fillId="0" borderId="0" xfId="0" applyFont="1"/>
    <xf numFmtId="0" fontId="66" fillId="0" borderId="0" xfId="0" applyFont="1"/>
    <xf numFmtId="0" fontId="38" fillId="0" borderId="0" xfId="0" applyFont="1" applyAlignment="1">
      <alignment wrapText="1"/>
    </xf>
    <xf numFmtId="0" fontId="6" fillId="0" borderId="71" xfId="0" applyFont="1" applyBorder="1" applyAlignment="1">
      <alignment wrapText="1"/>
    </xf>
    <xf numFmtId="49" fontId="7" fillId="0" borderId="0" xfId="0" applyNumberFormat="1" applyFont="1" applyAlignment="1">
      <alignment wrapText="1"/>
    </xf>
    <xf numFmtId="49" fontId="67" fillId="6" borderId="0" xfId="0" applyNumberFormat="1" applyFont="1" applyFill="1" applyAlignment="1">
      <alignment wrapText="1"/>
    </xf>
    <xf numFmtId="0" fontId="68" fillId="47" borderId="72" xfId="0" applyFont="1" applyFill="1" applyBorder="1" applyAlignment="1">
      <alignment horizontal="center" vertical="center"/>
    </xf>
    <xf numFmtId="0" fontId="68" fillId="47" borderId="72" xfId="0" applyFont="1" applyFill="1" applyBorder="1" applyAlignment="1">
      <alignment horizontal="center" vertical="center" wrapText="1"/>
    </xf>
    <xf numFmtId="0" fontId="68" fillId="47" borderId="19" xfId="0" applyFont="1" applyFill="1" applyBorder="1" applyAlignment="1">
      <alignment horizontal="center" vertical="center" wrapText="1"/>
    </xf>
    <xf numFmtId="0" fontId="68" fillId="47" borderId="73" xfId="0" applyFont="1" applyFill="1" applyBorder="1" applyAlignment="1">
      <alignment horizontal="center" vertical="center" wrapText="1"/>
    </xf>
    <xf numFmtId="0" fontId="68" fillId="48" borderId="73" xfId="0" applyFont="1" applyFill="1" applyBorder="1" applyAlignment="1">
      <alignment horizontal="center" vertical="center" wrapText="1"/>
    </xf>
    <xf numFmtId="0" fontId="68" fillId="48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68" fillId="8" borderId="74" xfId="0" applyFont="1" applyFill="1" applyBorder="1" applyAlignment="1">
      <alignment horizontal="left" vertical="center"/>
    </xf>
    <xf numFmtId="0" fontId="68" fillId="8" borderId="75" xfId="0" applyFont="1" applyFill="1" applyBorder="1" applyAlignment="1">
      <alignment horizontal="center" vertical="center"/>
    </xf>
    <xf numFmtId="0" fontId="68" fillId="8" borderId="76" xfId="0" applyFont="1" applyFill="1" applyBorder="1" applyAlignment="1">
      <alignment horizontal="center" vertical="center"/>
    </xf>
    <xf numFmtId="0" fontId="68" fillId="8" borderId="77" xfId="0" applyFont="1" applyFill="1" applyBorder="1" applyAlignment="1">
      <alignment horizontal="center" vertical="center"/>
    </xf>
    <xf numFmtId="0" fontId="68" fillId="8" borderId="78" xfId="0" applyFont="1" applyFill="1" applyBorder="1" applyAlignment="1">
      <alignment horizontal="center" vertical="center"/>
    </xf>
    <xf numFmtId="0" fontId="69" fillId="48" borderId="78" xfId="0" applyFont="1" applyFill="1" applyBorder="1" applyAlignment="1">
      <alignment horizontal="center" vertical="center"/>
    </xf>
    <xf numFmtId="0" fontId="68" fillId="8" borderId="79" xfId="0" applyFont="1" applyFill="1" applyBorder="1" applyAlignment="1">
      <alignment horizontal="center" vertical="center"/>
    </xf>
    <xf numFmtId="0" fontId="68" fillId="48" borderId="0" xfId="0" applyFont="1" applyFill="1" applyAlignment="1">
      <alignment horizontal="right" vertical="center"/>
    </xf>
    <xf numFmtId="0" fontId="68" fillId="8" borderId="80" xfId="0" applyFont="1" applyFill="1" applyBorder="1" applyAlignment="1">
      <alignment horizontal="left" vertical="center"/>
    </xf>
    <xf numFmtId="0" fontId="68" fillId="8" borderId="81" xfId="0" applyFont="1" applyFill="1" applyBorder="1" applyAlignment="1">
      <alignment horizontal="center" vertical="center"/>
    </xf>
    <xf numFmtId="0" fontId="68" fillId="8" borderId="82" xfId="0" applyFont="1" applyFill="1" applyBorder="1" applyAlignment="1">
      <alignment horizontal="center" vertical="center"/>
    </xf>
    <xf numFmtId="0" fontId="69" fillId="48" borderId="83" xfId="0" applyFont="1" applyFill="1" applyBorder="1" applyAlignment="1">
      <alignment horizontal="center" vertical="center"/>
    </xf>
    <xf numFmtId="0" fontId="68" fillId="8" borderId="74" xfId="0" applyFont="1" applyFill="1" applyBorder="1" applyAlignment="1">
      <alignment vertical="center"/>
    </xf>
    <xf numFmtId="0" fontId="68" fillId="48" borderId="0" xfId="0" applyFont="1" applyFill="1" applyAlignment="1">
      <alignment vertical="center"/>
    </xf>
    <xf numFmtId="0" fontId="68" fillId="8" borderId="13" xfId="0" applyFont="1" applyFill="1" applyBorder="1" applyAlignment="1">
      <alignment horizontal="center" vertical="center"/>
    </xf>
    <xf numFmtId="0" fontId="68" fillId="8" borderId="62" xfId="0" applyFont="1" applyFill="1" applyBorder="1" applyAlignment="1">
      <alignment horizontal="center" vertical="center"/>
    </xf>
    <xf numFmtId="0" fontId="68" fillId="49" borderId="77" xfId="0" applyFont="1" applyFill="1" applyBorder="1" applyAlignment="1">
      <alignment horizontal="center" vertical="center"/>
    </xf>
    <xf numFmtId="0" fontId="68" fillId="49" borderId="13" xfId="0" applyFont="1" applyFill="1" applyBorder="1" applyAlignment="1">
      <alignment horizontal="center" vertical="center"/>
    </xf>
    <xf numFmtId="0" fontId="68" fillId="49" borderId="6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8" fillId="49" borderId="84" xfId="0" applyFont="1" applyFill="1" applyBorder="1" applyAlignment="1">
      <alignment horizontal="center" vertical="center"/>
    </xf>
    <xf numFmtId="0" fontId="68" fillId="49" borderId="85" xfId="0" applyFont="1" applyFill="1" applyBorder="1" applyAlignment="1">
      <alignment horizontal="center" vertical="center"/>
    </xf>
    <xf numFmtId="0" fontId="68" fillId="49" borderId="86" xfId="0" applyFont="1" applyFill="1" applyBorder="1" applyAlignment="1">
      <alignment horizontal="center" vertical="center"/>
    </xf>
    <xf numFmtId="0" fontId="68" fillId="8" borderId="86" xfId="0" applyFont="1" applyFill="1" applyBorder="1" applyAlignment="1">
      <alignment horizontal="center" vertical="center"/>
    </xf>
    <xf numFmtId="0" fontId="68" fillId="8" borderId="87" xfId="0" applyFont="1" applyFill="1" applyBorder="1" applyAlignment="1">
      <alignment horizontal="center" vertical="center"/>
    </xf>
    <xf numFmtId="3" fontId="7" fillId="0" borderId="0" xfId="0" applyNumberFormat="1" applyFont="1"/>
    <xf numFmtId="0" fontId="69" fillId="50" borderId="88" xfId="0" applyFont="1" applyFill="1" applyBorder="1" applyAlignment="1">
      <alignment horizontal="left" vertical="center"/>
    </xf>
    <xf numFmtId="0" fontId="69" fillId="50" borderId="89" xfId="0" applyFont="1" applyFill="1" applyBorder="1" applyAlignment="1">
      <alignment horizontal="center" vertical="center"/>
    </xf>
    <xf numFmtId="0" fontId="69" fillId="50" borderId="90" xfId="0" applyFont="1" applyFill="1" applyBorder="1" applyAlignment="1">
      <alignment horizontal="center" vertical="center"/>
    </xf>
    <xf numFmtId="0" fontId="69" fillId="50" borderId="91" xfId="0" applyFont="1" applyFill="1" applyBorder="1" applyAlignment="1">
      <alignment horizontal="center" vertical="center"/>
    </xf>
    <xf numFmtId="0" fontId="69" fillId="50" borderId="92" xfId="0" applyFont="1" applyFill="1" applyBorder="1" applyAlignment="1">
      <alignment horizontal="center" vertical="center"/>
    </xf>
    <xf numFmtId="0" fontId="69" fillId="50" borderId="73" xfId="0" applyFont="1" applyFill="1" applyBorder="1" applyAlignment="1">
      <alignment horizontal="center" vertical="center"/>
    </xf>
    <xf numFmtId="0" fontId="69" fillId="48" borderId="73" xfId="0" applyFont="1" applyFill="1" applyBorder="1" applyAlignment="1">
      <alignment horizontal="center" vertical="center"/>
    </xf>
    <xf numFmtId="0" fontId="69" fillId="50" borderId="93" xfId="0" applyFont="1" applyFill="1" applyBorder="1" applyAlignment="1">
      <alignment horizontal="center" vertical="center"/>
    </xf>
    <xf numFmtId="0" fontId="69" fillId="48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7" fillId="6" borderId="0" xfId="0" applyFont="1" applyFill="1"/>
    <xf numFmtId="0" fontId="69" fillId="51" borderId="83" xfId="0" applyFont="1" applyFill="1" applyBorder="1" applyAlignment="1">
      <alignment horizontal="center" vertical="center"/>
    </xf>
    <xf numFmtId="0" fontId="71" fillId="0" borderId="0" xfId="0" applyFont="1" applyAlignment="1">
      <alignment wrapText="1"/>
    </xf>
    <xf numFmtId="0" fontId="1" fillId="52" borderId="58" xfId="0" applyFont="1" applyFill="1" applyBorder="1"/>
    <xf numFmtId="0" fontId="1" fillId="0" borderId="71" xfId="0" applyFont="1" applyBorder="1"/>
    <xf numFmtId="0" fontId="0" fillId="6" borderId="58" xfId="0" applyFill="1" applyBorder="1"/>
    <xf numFmtId="9" fontId="0" fillId="0" borderId="0" xfId="71" applyFont="1"/>
    <xf numFmtId="4" fontId="0" fillId="0" borderId="86" xfId="0" applyNumberFormat="1" applyBorder="1"/>
    <xf numFmtId="3" fontId="0" fillId="0" borderId="0" xfId="0" applyNumberFormat="1"/>
    <xf numFmtId="4" fontId="0" fillId="0" borderId="0" xfId="0" applyNumberFormat="1"/>
    <xf numFmtId="0" fontId="0" fillId="0" borderId="95" xfId="0" applyBorder="1"/>
    <xf numFmtId="0" fontId="0" fillId="0" borderId="9" xfId="0" applyBorder="1"/>
    <xf numFmtId="0" fontId="0" fillId="0" borderId="96" xfId="0" applyBorder="1"/>
    <xf numFmtId="0" fontId="0" fillId="0" borderId="13" xfId="0" applyBorder="1"/>
    <xf numFmtId="0" fontId="0" fillId="0" borderId="97" xfId="0" applyBorder="1"/>
    <xf numFmtId="0" fontId="0" fillId="0" borderId="98" xfId="0" applyBorder="1"/>
    <xf numFmtId="3" fontId="0" fillId="0" borderId="98" xfId="0" applyNumberFormat="1" applyBorder="1"/>
    <xf numFmtId="0" fontId="0" fillId="53" borderId="1" xfId="0" applyFill="1" applyBorder="1"/>
    <xf numFmtId="0" fontId="0" fillId="53" borderId="38" xfId="0" applyFill="1" applyBorder="1"/>
    <xf numFmtId="49" fontId="39" fillId="6" borderId="69" xfId="0" applyNumberFormat="1" applyFont="1" applyFill="1" applyBorder="1"/>
    <xf numFmtId="0" fontId="39" fillId="9" borderId="51" xfId="0" applyFont="1" applyFill="1" applyBorder="1" applyAlignment="1">
      <alignment horizontal="center"/>
    </xf>
    <xf numFmtId="4" fontId="75" fillId="0" borderId="8" xfId="0" applyNumberFormat="1" applyFont="1" applyBorder="1" applyAlignment="1">
      <alignment horizontal="left" vertical="top" wrapText="1"/>
    </xf>
    <xf numFmtId="4" fontId="75" fillId="0" borderId="9" xfId="0" applyNumberFormat="1" applyFont="1" applyBorder="1" applyAlignment="1">
      <alignment horizontal="left" vertical="top" wrapText="1"/>
    </xf>
    <xf numFmtId="4" fontId="75" fillId="9" borderId="10" xfId="0" applyNumberFormat="1" applyFont="1" applyFill="1" applyBorder="1" applyAlignment="1">
      <alignment horizontal="left" vertical="top" wrapText="1"/>
    </xf>
    <xf numFmtId="4" fontId="75" fillId="0" borderId="35" xfId="0" applyNumberFormat="1" applyFont="1" applyBorder="1" applyAlignment="1">
      <alignment horizontal="left" vertical="top" wrapText="1"/>
    </xf>
    <xf numFmtId="4" fontId="75" fillId="0" borderId="37" xfId="0" applyNumberFormat="1" applyFont="1" applyBorder="1" applyAlignment="1">
      <alignment horizontal="left" vertical="top" wrapText="1"/>
    </xf>
    <xf numFmtId="4" fontId="75" fillId="0" borderId="0" xfId="0" applyNumberFormat="1" applyFont="1" applyAlignment="1">
      <alignment horizontal="left" vertical="top" wrapText="1"/>
    </xf>
    <xf numFmtId="0" fontId="39" fillId="0" borderId="39" xfId="0" applyFont="1" applyBorder="1"/>
    <xf numFmtId="0" fontId="39" fillId="0" borderId="40" xfId="0" applyFont="1" applyBorder="1"/>
    <xf numFmtId="4" fontId="75" fillId="0" borderId="1" xfId="0" applyNumberFormat="1" applyFont="1" applyBorder="1" applyAlignment="1">
      <alignment horizontal="left" vertical="top" wrapText="1"/>
    </xf>
    <xf numFmtId="4" fontId="75" fillId="0" borderId="41" xfId="0" applyNumberFormat="1" applyFont="1" applyBorder="1" applyAlignment="1">
      <alignment horizontal="left" vertical="top" wrapText="1"/>
    </xf>
    <xf numFmtId="4" fontId="75" fillId="0" borderId="40" xfId="0" applyNumberFormat="1" applyFont="1" applyBorder="1" applyAlignment="1">
      <alignment horizontal="left" vertical="top" wrapText="1"/>
    </xf>
    <xf numFmtId="4" fontId="13" fillId="0" borderId="3" xfId="0" applyNumberFormat="1" applyFont="1" applyBorder="1"/>
    <xf numFmtId="4" fontId="13" fillId="0" borderId="6" xfId="0" applyNumberFormat="1" applyFont="1" applyBorder="1"/>
    <xf numFmtId="0" fontId="13" fillId="0" borderId="6" xfId="0" applyFont="1" applyBorder="1"/>
    <xf numFmtId="4" fontId="13" fillId="0" borderId="4" xfId="0" applyNumberFormat="1" applyFont="1" applyBorder="1"/>
    <xf numFmtId="4" fontId="13" fillId="0" borderId="36" xfId="0" applyNumberFormat="1" applyFont="1" applyBorder="1"/>
    <xf numFmtId="2" fontId="13" fillId="0" borderId="5" xfId="0" applyNumberFormat="1" applyFont="1" applyBorder="1"/>
    <xf numFmtId="4" fontId="13" fillId="0" borderId="21" xfId="0" applyNumberFormat="1" applyFont="1" applyBorder="1"/>
    <xf numFmtId="3" fontId="13" fillId="0" borderId="21" xfId="0" applyNumberFormat="1" applyFont="1" applyBorder="1"/>
    <xf numFmtId="0" fontId="13" fillId="0" borderId="21" xfId="0" applyFont="1" applyBorder="1"/>
    <xf numFmtId="4" fontId="13" fillId="0" borderId="15" xfId="0" applyNumberFormat="1" applyFont="1" applyBorder="1"/>
    <xf numFmtId="4" fontId="13" fillId="0" borderId="22" xfId="0" applyNumberFormat="1" applyFont="1" applyBorder="1"/>
    <xf numFmtId="4" fontId="13" fillId="0" borderId="16" xfId="0" applyNumberFormat="1" applyFont="1" applyBorder="1"/>
    <xf numFmtId="4" fontId="13" fillId="0" borderId="23" xfId="0" applyNumberFormat="1" applyFont="1" applyBorder="1"/>
    <xf numFmtId="4" fontId="13" fillId="0" borderId="0" xfId="0" applyNumberFormat="1" applyFont="1"/>
    <xf numFmtId="4" fontId="39" fillId="0" borderId="0" xfId="0" applyNumberFormat="1" applyFont="1"/>
    <xf numFmtId="0" fontId="62" fillId="0" borderId="0" xfId="0" applyFont="1"/>
    <xf numFmtId="0" fontId="78" fillId="0" borderId="1" xfId="0" applyFont="1" applyBorder="1"/>
    <xf numFmtId="0" fontId="78" fillId="0" borderId="19" xfId="0" applyFont="1" applyBorder="1"/>
    <xf numFmtId="49" fontId="78" fillId="0" borderId="19" xfId="0" applyNumberFormat="1" applyFont="1" applyBorder="1"/>
    <xf numFmtId="0" fontId="74" fillId="46" borderId="55" xfId="0" applyFont="1" applyFill="1" applyBorder="1"/>
    <xf numFmtId="0" fontId="74" fillId="46" borderId="53" xfId="0" applyFont="1" applyFill="1" applyBorder="1"/>
    <xf numFmtId="0" fontId="74" fillId="46" borderId="41" xfId="0" applyFont="1" applyFill="1" applyBorder="1"/>
    <xf numFmtId="0" fontId="74" fillId="46" borderId="7" xfId="0" applyFont="1" applyFill="1" applyBorder="1"/>
    <xf numFmtId="49" fontId="78" fillId="0" borderId="62" xfId="0" applyNumberFormat="1" applyFont="1" applyBorder="1"/>
    <xf numFmtId="4" fontId="62" fillId="0" borderId="7" xfId="0" applyNumberFormat="1" applyFont="1" applyBorder="1"/>
    <xf numFmtId="165" fontId="78" fillId="0" borderId="62" xfId="0" applyNumberFormat="1" applyFont="1" applyBorder="1"/>
    <xf numFmtId="3" fontId="78" fillId="0" borderId="18" xfId="0" applyNumberFormat="1" applyFont="1" applyBorder="1"/>
    <xf numFmtId="3" fontId="78" fillId="0" borderId="7" xfId="0" applyNumberFormat="1" applyFont="1" applyBorder="1"/>
    <xf numFmtId="3" fontId="78" fillId="0" borderId="17" xfId="0" applyNumberFormat="1" applyFont="1" applyBorder="1"/>
    <xf numFmtId="4" fontId="62" fillId="0" borderId="0" xfId="0" applyNumberFormat="1" applyFont="1"/>
    <xf numFmtId="3" fontId="78" fillId="0" borderId="53" xfId="0" applyNumberFormat="1" applyFont="1" applyBorder="1"/>
    <xf numFmtId="3" fontId="78" fillId="0" borderId="41" xfId="0" applyNumberFormat="1" applyFont="1" applyBorder="1"/>
    <xf numFmtId="0" fontId="78" fillId="0" borderId="3" xfId="0" applyFont="1" applyBorder="1"/>
    <xf numFmtId="165" fontId="78" fillId="0" borderId="56" xfId="0" applyNumberFormat="1" applyFont="1" applyBorder="1"/>
    <xf numFmtId="49" fontId="78" fillId="0" borderId="56" xfId="0" applyNumberFormat="1" applyFont="1" applyBorder="1"/>
    <xf numFmtId="3" fontId="78" fillId="0" borderId="36" xfId="0" applyNumberFormat="1" applyFont="1" applyBorder="1"/>
    <xf numFmtId="3" fontId="78" fillId="4" borderId="6" xfId="0" applyNumberFormat="1" applyFont="1" applyFill="1" applyBorder="1"/>
    <xf numFmtId="3" fontId="78" fillId="0" borderId="5" xfId="0" applyNumberFormat="1" applyFont="1" applyBorder="1"/>
    <xf numFmtId="3" fontId="78" fillId="4" borderId="7" xfId="0" applyNumberFormat="1" applyFont="1" applyFill="1" applyBorder="1"/>
    <xf numFmtId="165" fontId="78" fillId="0" borderId="65" xfId="0" applyNumberFormat="1" applyFont="1" applyBorder="1"/>
    <xf numFmtId="49" fontId="78" fillId="0" borderId="65" xfId="0" applyNumberFormat="1" applyFont="1" applyBorder="1"/>
    <xf numFmtId="3" fontId="78" fillId="6" borderId="17" xfId="0" applyNumberFormat="1" applyFont="1" applyFill="1" applyBorder="1"/>
    <xf numFmtId="3" fontId="79" fillId="0" borderId="18" xfId="0" applyNumberFormat="1" applyFont="1" applyBorder="1"/>
    <xf numFmtId="3" fontId="80" fillId="0" borderId="18" xfId="0" applyNumberFormat="1" applyFont="1" applyBorder="1"/>
    <xf numFmtId="3" fontId="74" fillId="0" borderId="7" xfId="0" applyNumberFormat="1" applyFont="1" applyBorder="1"/>
    <xf numFmtId="3" fontId="74" fillId="6" borderId="17" xfId="0" applyNumberFormat="1" applyFont="1" applyFill="1" applyBorder="1"/>
    <xf numFmtId="0" fontId="78" fillId="0" borderId="11" xfId="0" applyFont="1" applyBorder="1"/>
    <xf numFmtId="3" fontId="74" fillId="46" borderId="70" xfId="0" applyNumberFormat="1" applyFont="1" applyFill="1" applyBorder="1"/>
    <xf numFmtId="3" fontId="74" fillId="46" borderId="59" xfId="0" applyNumberFormat="1" applyFont="1" applyFill="1" applyBorder="1"/>
    <xf numFmtId="3" fontId="78" fillId="0" borderId="39" xfId="0" applyNumberFormat="1" applyFont="1" applyBorder="1"/>
    <xf numFmtId="3" fontId="13" fillId="0" borderId="0" xfId="0" applyNumberFormat="1" applyFont="1"/>
    <xf numFmtId="4" fontId="39" fillId="3" borderId="0" xfId="0" applyNumberFormat="1" applyFont="1" applyFill="1" applyAlignment="1">
      <alignment horizontal="center"/>
    </xf>
    <xf numFmtId="0" fontId="39" fillId="3" borderId="0" xfId="0" applyFont="1" applyFill="1" applyAlignment="1">
      <alignment horizontal="center"/>
    </xf>
    <xf numFmtId="3" fontId="39" fillId="6" borderId="61" xfId="0" applyNumberFormat="1" applyFont="1" applyFill="1" applyBorder="1" applyAlignment="1">
      <alignment horizontal="center"/>
    </xf>
    <xf numFmtId="3" fontId="39" fillId="6" borderId="101" xfId="0" applyNumberFormat="1" applyFont="1" applyFill="1" applyBorder="1" applyAlignment="1">
      <alignment horizontal="center"/>
    </xf>
    <xf numFmtId="3" fontId="39" fillId="6" borderId="102" xfId="0" applyNumberFormat="1" applyFont="1" applyFill="1" applyBorder="1" applyAlignment="1">
      <alignment horizontal="center"/>
    </xf>
    <xf numFmtId="4" fontId="39" fillId="6" borderId="67" xfId="0" applyNumberFormat="1" applyFont="1" applyFill="1" applyBorder="1"/>
    <xf numFmtId="3" fontId="0" fillId="0" borderId="62" xfId="0" applyNumberFormat="1" applyBorder="1"/>
    <xf numFmtId="3" fontId="0" fillId="0" borderId="63" xfId="0" applyNumberFormat="1" applyBorder="1"/>
    <xf numFmtId="3" fontId="0" fillId="53" borderId="19" xfId="0" applyNumberFormat="1" applyFill="1" applyBorder="1"/>
    <xf numFmtId="0" fontId="8" fillId="0" borderId="7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6" fillId="45" borderId="7" xfId="0" applyFont="1" applyFill="1" applyBorder="1"/>
    <xf numFmtId="3" fontId="8" fillId="0" borderId="7" xfId="0" applyNumberFormat="1" applyFont="1" applyBorder="1" applyAlignment="1">
      <alignment wrapText="1"/>
    </xf>
    <xf numFmtId="3" fontId="53" fillId="0" borderId="7" xfId="0" applyNumberFormat="1" applyFont="1" applyBorder="1" applyAlignment="1">
      <alignment wrapText="1"/>
    </xf>
    <xf numFmtId="16" fontId="6" fillId="0" borderId="0" xfId="0" applyNumberFormat="1" applyFont="1"/>
    <xf numFmtId="0" fontId="0" fillId="0" borderId="27" xfId="0" applyBorder="1" applyAlignment="1">
      <alignment wrapText="1"/>
    </xf>
    <xf numFmtId="0" fontId="3" fillId="0" borderId="0" xfId="1" applyAlignment="1">
      <alignment horizontal="left" vertical="center" wrapText="1"/>
    </xf>
    <xf numFmtId="3" fontId="2" fillId="0" borderId="51" xfId="0" applyNumberFormat="1" applyFont="1" applyBorder="1" applyAlignment="1">
      <alignment horizontal="center" vertical="center" wrapText="1"/>
    </xf>
    <xf numFmtId="0" fontId="6" fillId="0" borderId="51" xfId="0" applyFont="1" applyBorder="1"/>
    <xf numFmtId="0" fontId="6" fillId="0" borderId="101" xfId="0" applyFont="1" applyBorder="1"/>
    <xf numFmtId="0" fontId="6" fillId="0" borderId="24" xfId="0" applyFont="1" applyBorder="1"/>
    <xf numFmtId="0" fontId="39" fillId="6" borderId="0" xfId="0" applyFont="1" applyFill="1"/>
    <xf numFmtId="4" fontId="39" fillId="6" borderId="0" xfId="0" applyNumberFormat="1" applyFont="1" applyFill="1"/>
    <xf numFmtId="3" fontId="39" fillId="6" borderId="0" xfId="0" applyNumberFormat="1" applyFont="1" applyFill="1"/>
    <xf numFmtId="4" fontId="75" fillId="0" borderId="38" xfId="0" applyNumberFormat="1" applyFont="1" applyBorder="1" applyAlignment="1">
      <alignment horizontal="left" vertical="top" wrapText="1"/>
    </xf>
    <xf numFmtId="0" fontId="13" fillId="0" borderId="86" xfId="0" applyFont="1" applyBorder="1"/>
    <xf numFmtId="0" fontId="39" fillId="3" borderId="58" xfId="0" applyFont="1" applyFill="1" applyBorder="1"/>
    <xf numFmtId="3" fontId="8" fillId="0" borderId="7" xfId="0" applyNumberFormat="1" applyFont="1" applyBorder="1"/>
    <xf numFmtId="0" fontId="81" fillId="0" borderId="30" xfId="0" applyFont="1" applyBorder="1" applyAlignment="1">
      <alignment wrapText="1"/>
    </xf>
    <xf numFmtId="0" fontId="81" fillId="0" borderId="0" xfId="0" applyFont="1"/>
    <xf numFmtId="0" fontId="81" fillId="0" borderId="30" xfId="0" applyFont="1" applyBorder="1"/>
    <xf numFmtId="0" fontId="81" fillId="0" borderId="106" xfId="0" applyFont="1" applyBorder="1" applyAlignment="1">
      <alignment wrapText="1"/>
    </xf>
    <xf numFmtId="0" fontId="81" fillId="0" borderId="33" xfId="0" applyFont="1" applyBorder="1" applyAlignment="1">
      <alignment wrapText="1"/>
    </xf>
    <xf numFmtId="0" fontId="81" fillId="0" borderId="29" xfId="0" applyFont="1" applyBorder="1" applyAlignment="1">
      <alignment wrapText="1"/>
    </xf>
    <xf numFmtId="0" fontId="81" fillId="0" borderId="29" xfId="0" applyFont="1" applyBorder="1"/>
    <xf numFmtId="0" fontId="81" fillId="0" borderId="107" xfId="0" applyFont="1" applyBorder="1" applyAlignment="1">
      <alignment wrapText="1"/>
    </xf>
    <xf numFmtId="0" fontId="81" fillId="0" borderId="34" xfId="0" applyFont="1" applyBorder="1" applyAlignment="1">
      <alignment wrapText="1"/>
    </xf>
    <xf numFmtId="0" fontId="82" fillId="0" borderId="0" xfId="0" applyFont="1"/>
    <xf numFmtId="0" fontId="39" fillId="0" borderId="7" xfId="0" applyFont="1" applyBorder="1"/>
    <xf numFmtId="0" fontId="78" fillId="0" borderId="68" xfId="0" applyFont="1" applyBorder="1"/>
    <xf numFmtId="49" fontId="39" fillId="2" borderId="26" xfId="0" applyNumberFormat="1" applyFont="1" applyFill="1" applyBorder="1" applyAlignment="1">
      <alignment wrapText="1"/>
    </xf>
    <xf numFmtId="4" fontId="13" fillId="53" borderId="21" xfId="0" applyNumberFormat="1" applyFont="1" applyFill="1" applyBorder="1"/>
    <xf numFmtId="4" fontId="13" fillId="53" borderId="51" xfId="0" applyNumberFormat="1" applyFont="1" applyFill="1" applyBorder="1"/>
    <xf numFmtId="4" fontId="13" fillId="53" borderId="4" xfId="0" applyNumberFormat="1" applyFont="1" applyFill="1" applyBorder="1"/>
    <xf numFmtId="4" fontId="13" fillId="53" borderId="103" xfId="0" applyNumberFormat="1" applyFont="1" applyFill="1" applyBorder="1"/>
    <xf numFmtId="0" fontId="83" fillId="0" borderId="0" xfId="0" applyFont="1"/>
    <xf numFmtId="0" fontId="83" fillId="0" borderId="3" xfId="0" applyFont="1" applyBorder="1"/>
    <xf numFmtId="0" fontId="83" fillId="0" borderId="60" xfId="0" applyFont="1" applyBorder="1"/>
    <xf numFmtId="0" fontId="83" fillId="0" borderId="15" xfId="0" applyFont="1" applyBorder="1"/>
    <xf numFmtId="0" fontId="83" fillId="55" borderId="51" xfId="0" applyFont="1" applyFill="1" applyBorder="1" applyAlignment="1">
      <alignment horizontal="center"/>
    </xf>
    <xf numFmtId="0" fontId="83" fillId="45" borderId="51" xfId="0" applyFont="1" applyFill="1" applyBorder="1" applyAlignment="1">
      <alignment horizontal="center"/>
    </xf>
    <xf numFmtId="0" fontId="83" fillId="56" borderId="51" xfId="0" applyFont="1" applyFill="1" applyBorder="1" applyAlignment="1">
      <alignment horizontal="center"/>
    </xf>
    <xf numFmtId="0" fontId="83" fillId="56" borderId="103" xfId="0" applyFont="1" applyFill="1" applyBorder="1" applyAlignment="1">
      <alignment horizontal="center"/>
    </xf>
    <xf numFmtId="3" fontId="83" fillId="0" borderId="51" xfId="0" applyNumberFormat="1" applyFont="1" applyBorder="1"/>
    <xf numFmtId="3" fontId="83" fillId="0" borderId="103" xfId="0" applyNumberFormat="1" applyFont="1" applyBorder="1"/>
    <xf numFmtId="3" fontId="83" fillId="0" borderId="22" xfId="0" applyNumberFormat="1" applyFont="1" applyBorder="1"/>
    <xf numFmtId="0" fontId="83" fillId="6" borderId="60" xfId="0" applyFont="1" applyFill="1" applyBorder="1"/>
    <xf numFmtId="3" fontId="83" fillId="6" borderId="51" xfId="0" applyNumberFormat="1" applyFont="1" applyFill="1" applyBorder="1"/>
    <xf numFmtId="4" fontId="83" fillId="0" borderId="0" xfId="0" applyNumberFormat="1" applyFont="1"/>
    <xf numFmtId="0" fontId="84" fillId="0" borderId="39" xfId="0" applyFont="1" applyBorder="1" applyAlignment="1">
      <alignment vertical="center"/>
    </xf>
    <xf numFmtId="4" fontId="85" fillId="0" borderId="0" xfId="0" applyNumberFormat="1" applyFont="1"/>
    <xf numFmtId="0" fontId="85" fillId="0" borderId="0" xfId="0" applyFont="1"/>
    <xf numFmtId="0" fontId="84" fillId="0" borderId="21" xfId="0" applyFont="1" applyBorder="1" applyAlignment="1">
      <alignment vertical="center"/>
    </xf>
    <xf numFmtId="0" fontId="86" fillId="0" borderId="21" xfId="0" applyFont="1" applyBorder="1" applyAlignment="1">
      <alignment vertical="center"/>
    </xf>
    <xf numFmtId="0" fontId="84" fillId="0" borderId="51" xfId="0" applyFont="1" applyBorder="1" applyAlignment="1">
      <alignment vertical="center"/>
    </xf>
    <xf numFmtId="0" fontId="84" fillId="0" borderId="51" xfId="0" applyFont="1" applyBorder="1" applyAlignment="1">
      <alignment vertical="center" wrapText="1"/>
    </xf>
    <xf numFmtId="49" fontId="84" fillId="0" borderId="51" xfId="0" applyNumberFormat="1" applyFont="1" applyBorder="1" applyAlignment="1">
      <alignment vertical="center" wrapText="1"/>
    </xf>
    <xf numFmtId="0" fontId="87" fillId="0" borderId="51" xfId="48" applyFont="1" applyBorder="1" applyAlignment="1" applyProtection="1">
      <alignment horizontal="left" wrapText="1"/>
      <protection locked="0"/>
    </xf>
    <xf numFmtId="0" fontId="84" fillId="0" borderId="101" xfId="0" applyFont="1" applyBorder="1" applyAlignment="1">
      <alignment vertical="center"/>
    </xf>
    <xf numFmtId="0" fontId="84" fillId="0" borderId="39" xfId="0" applyFont="1" applyBorder="1"/>
    <xf numFmtId="4" fontId="85" fillId="0" borderId="51" xfId="0" applyNumberFormat="1" applyFont="1" applyBorder="1"/>
    <xf numFmtId="0" fontId="84" fillId="3" borderId="38" xfId="0" applyFont="1" applyFill="1" applyBorder="1" applyAlignment="1">
      <alignment vertical="center"/>
    </xf>
    <xf numFmtId="4" fontId="85" fillId="3" borderId="51" xfId="0" applyNumberFormat="1" applyFont="1" applyFill="1" applyBorder="1"/>
    <xf numFmtId="4" fontId="84" fillId="57" borderId="66" xfId="0" applyNumberFormat="1" applyFont="1" applyFill="1" applyBorder="1"/>
    <xf numFmtId="4" fontId="84" fillId="57" borderId="52" xfId="0" applyNumberFormat="1" applyFont="1" applyFill="1" applyBorder="1"/>
    <xf numFmtId="4" fontId="86" fillId="57" borderId="52" xfId="0" applyNumberFormat="1" applyFont="1" applyFill="1" applyBorder="1" applyAlignment="1">
      <alignment vertical="center"/>
    </xf>
    <xf numFmtId="4" fontId="84" fillId="57" borderId="52" xfId="0" applyNumberFormat="1" applyFont="1" applyFill="1" applyBorder="1" applyAlignment="1">
      <alignment vertical="center"/>
    </xf>
    <xf numFmtId="4" fontId="84" fillId="57" borderId="52" xfId="0" applyNumberFormat="1" applyFont="1" applyFill="1" applyBorder="1" applyAlignment="1">
      <alignment vertical="center" wrapText="1"/>
    </xf>
    <xf numFmtId="4" fontId="86" fillId="57" borderId="0" xfId="0" applyNumberFormat="1" applyFont="1" applyFill="1"/>
    <xf numFmtId="4" fontId="84" fillId="57" borderId="66" xfId="0" applyNumberFormat="1" applyFont="1" applyFill="1" applyBorder="1" applyAlignment="1">
      <alignment vertical="center"/>
    </xf>
    <xf numFmtId="4" fontId="84" fillId="57" borderId="66" xfId="0" applyNumberFormat="1" applyFont="1" applyFill="1" applyBorder="1" applyAlignment="1">
      <alignment vertical="center" wrapText="1"/>
    </xf>
    <xf numFmtId="4" fontId="87" fillId="57" borderId="66" xfId="48" applyNumberFormat="1" applyFont="1" applyFill="1" applyBorder="1" applyAlignment="1" applyProtection="1">
      <alignment horizontal="right" wrapText="1"/>
      <protection locked="0"/>
    </xf>
    <xf numFmtId="4" fontId="84" fillId="57" borderId="35" xfId="0" applyNumberFormat="1" applyFont="1" applyFill="1" applyBorder="1" applyAlignment="1">
      <alignment vertical="center"/>
    </xf>
    <xf numFmtId="4" fontId="84" fillId="57" borderId="38" xfId="0" applyNumberFormat="1" applyFont="1" applyFill="1" applyBorder="1"/>
    <xf numFmtId="4" fontId="85" fillId="9" borderId="51" xfId="0" applyNumberFormat="1" applyFont="1" applyFill="1" applyBorder="1"/>
    <xf numFmtId="4" fontId="13" fillId="53" borderId="16" xfId="0" applyNumberFormat="1" applyFont="1" applyFill="1" applyBorder="1"/>
    <xf numFmtId="4" fontId="85" fillId="6" borderId="51" xfId="0" applyNumberFormat="1" applyFont="1" applyFill="1" applyBorder="1"/>
    <xf numFmtId="4" fontId="36" fillId="6" borderId="3" xfId="0" applyNumberFormat="1" applyFont="1" applyFill="1" applyBorder="1" applyAlignment="1">
      <alignment wrapText="1"/>
    </xf>
    <xf numFmtId="4" fontId="36" fillId="6" borderId="6" xfId="0" applyNumberFormat="1" applyFont="1" applyFill="1" applyBorder="1" applyAlignment="1">
      <alignment wrapText="1"/>
    </xf>
    <xf numFmtId="0" fontId="36" fillId="6" borderId="4" xfId="0" applyFont="1" applyFill="1" applyBorder="1" applyAlignment="1">
      <alignment wrapText="1"/>
    </xf>
    <xf numFmtId="4" fontId="13" fillId="0" borderId="66" xfId="0" applyNumberFormat="1" applyFont="1" applyBorder="1"/>
    <xf numFmtId="4" fontId="13" fillId="0" borderId="52" xfId="0" applyNumberFormat="1" applyFont="1" applyBorder="1"/>
    <xf numFmtId="4" fontId="6" fillId="0" borderId="0" xfId="0" applyNumberFormat="1" applyFont="1"/>
    <xf numFmtId="3" fontId="83" fillId="0" borderId="0" xfId="0" applyNumberFormat="1" applyFont="1"/>
    <xf numFmtId="0" fontId="83" fillId="45" borderId="8" xfId="0" applyFont="1" applyFill="1" applyBorder="1"/>
    <xf numFmtId="0" fontId="83" fillId="45" borderId="108" xfId="0" applyFont="1" applyFill="1" applyBorder="1" applyAlignment="1">
      <alignment horizontal="center"/>
    </xf>
    <xf numFmtId="0" fontId="83" fillId="45" borderId="110" xfId="0" applyFont="1" applyFill="1" applyBorder="1"/>
    <xf numFmtId="3" fontId="83" fillId="45" borderId="111" xfId="0" applyNumberFormat="1" applyFont="1" applyFill="1" applyBorder="1"/>
    <xf numFmtId="3" fontId="83" fillId="0" borderId="6" xfId="0" applyNumberFormat="1" applyFont="1" applyBorder="1"/>
    <xf numFmtId="3" fontId="83" fillId="0" borderId="4" xfId="0" applyNumberFormat="1" applyFont="1" applyBorder="1"/>
    <xf numFmtId="3" fontId="83" fillId="0" borderId="16" xfId="0" applyNumberFormat="1" applyFont="1" applyBorder="1"/>
    <xf numFmtId="0" fontId="83" fillId="45" borderId="109" xfId="0" applyFont="1" applyFill="1" applyBorder="1" applyAlignment="1">
      <alignment horizontal="center"/>
    </xf>
    <xf numFmtId="0" fontId="36" fillId="0" borderId="1" xfId="0" applyFont="1" applyBorder="1"/>
    <xf numFmtId="0" fontId="36" fillId="0" borderId="38" xfId="0" applyFont="1" applyBorder="1"/>
    <xf numFmtId="0" fontId="36" fillId="0" borderId="2" xfId="0" applyFont="1" applyBorder="1"/>
    <xf numFmtId="3" fontId="73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" fillId="0" borderId="0" xfId="0" applyFont="1"/>
    <xf numFmtId="9" fontId="0" fillId="0" borderId="0" xfId="71" applyFont="1" applyFill="1"/>
    <xf numFmtId="3" fontId="72" fillId="0" borderId="0" xfId="0" applyNumberFormat="1" applyFont="1"/>
    <xf numFmtId="4" fontId="36" fillId="0" borderId="0" xfId="0" applyNumberFormat="1" applyFont="1"/>
    <xf numFmtId="0" fontId="36" fillId="0" borderId="0" xfId="0" applyFont="1"/>
    <xf numFmtId="166" fontId="36" fillId="0" borderId="0" xfId="0" applyNumberFormat="1" applyFont="1"/>
    <xf numFmtId="0" fontId="4" fillId="0" borderId="0" xfId="0" applyFont="1" applyAlignment="1">
      <alignment wrapText="1"/>
    </xf>
    <xf numFmtId="165" fontId="0" fillId="0" borderId="0" xfId="0" applyNumberFormat="1"/>
    <xf numFmtId="0" fontId="4" fillId="0" borderId="3" xfId="0" applyFont="1" applyBorder="1"/>
    <xf numFmtId="0" fontId="4" fillId="0" borderId="6" xfId="0" applyFont="1" applyBorder="1" applyAlignment="1">
      <alignment wrapText="1"/>
    </xf>
    <xf numFmtId="0" fontId="4" fillId="57" borderId="6" xfId="0" applyFont="1" applyFill="1" applyBorder="1" applyAlignment="1">
      <alignment wrapText="1"/>
    </xf>
    <xf numFmtId="0" fontId="74" fillId="57" borderId="4" xfId="0" applyFont="1" applyFill="1" applyBorder="1" applyAlignment="1">
      <alignment wrapText="1"/>
    </xf>
    <xf numFmtId="10" fontId="4" fillId="0" borderId="15" xfId="0" applyNumberFormat="1" applyFont="1" applyBorder="1"/>
    <xf numFmtId="3" fontId="4" fillId="0" borderId="22" xfId="0" applyNumberFormat="1" applyFont="1" applyBorder="1"/>
    <xf numFmtId="167" fontId="0" fillId="57" borderId="22" xfId="0" applyNumberFormat="1" applyFill="1" applyBorder="1"/>
    <xf numFmtId="166" fontId="4" fillId="0" borderId="22" xfId="0" applyNumberFormat="1" applyFont="1" applyBorder="1"/>
    <xf numFmtId="4" fontId="0" fillId="57" borderId="16" xfId="0" applyNumberFormat="1" applyFill="1" applyBorder="1"/>
    <xf numFmtId="0" fontId="90" fillId="53" borderId="1" xfId="0" applyFont="1" applyFill="1" applyBorder="1"/>
    <xf numFmtId="0" fontId="82" fillId="53" borderId="38" xfId="0" applyFont="1" applyFill="1" applyBorder="1"/>
    <xf numFmtId="0" fontId="82" fillId="53" borderId="19" xfId="0" applyFont="1" applyFill="1" applyBorder="1"/>
    <xf numFmtId="0" fontId="82" fillId="0" borderId="13" xfId="0" applyFont="1" applyBorder="1"/>
    <xf numFmtId="0" fontId="82" fillId="0" borderId="62" xfId="0" applyFont="1" applyBorder="1"/>
    <xf numFmtId="3" fontId="82" fillId="0" borderId="0" xfId="0" applyNumberFormat="1" applyFont="1"/>
    <xf numFmtId="3" fontId="82" fillId="0" borderId="62" xfId="0" applyNumberFormat="1" applyFont="1" applyBorder="1"/>
    <xf numFmtId="0" fontId="82" fillId="0" borderId="97" xfId="0" applyFont="1" applyBorder="1"/>
    <xf numFmtId="0" fontId="82" fillId="0" borderId="98" xfId="0" applyFont="1" applyBorder="1"/>
    <xf numFmtId="3" fontId="82" fillId="0" borderId="98" xfId="0" applyNumberFormat="1" applyFont="1" applyBorder="1"/>
    <xf numFmtId="3" fontId="82" fillId="0" borderId="63" xfId="0" applyNumberFormat="1" applyFont="1" applyBorder="1"/>
    <xf numFmtId="4" fontId="62" fillId="0" borderId="61" xfId="0" applyNumberFormat="1" applyFont="1" applyBorder="1"/>
    <xf numFmtId="4" fontId="62" fillId="0" borderId="101" xfId="0" applyNumberFormat="1" applyFont="1" applyBorder="1"/>
    <xf numFmtId="0" fontId="91" fillId="0" borderId="0" xfId="0" applyFont="1"/>
    <xf numFmtId="0" fontId="72" fillId="0" borderId="0" xfId="0" applyFont="1"/>
    <xf numFmtId="0" fontId="92" fillId="0" borderId="0" xfId="0" applyFont="1"/>
    <xf numFmtId="4" fontId="0" fillId="0" borderId="0" xfId="0" applyNumberFormat="1" applyAlignment="1">
      <alignment wrapText="1"/>
    </xf>
    <xf numFmtId="4" fontId="0" fillId="6" borderId="95" xfId="0" applyNumberFormat="1" applyFill="1" applyBorder="1" applyAlignment="1">
      <alignment wrapText="1"/>
    </xf>
    <xf numFmtId="4" fontId="0" fillId="6" borderId="9" xfId="0" applyNumberFormat="1" applyFill="1" applyBorder="1" applyAlignment="1">
      <alignment wrapText="1"/>
    </xf>
    <xf numFmtId="0" fontId="0" fillId="6" borderId="101" xfId="0" applyFill="1" applyBorder="1"/>
    <xf numFmtId="49" fontId="0" fillId="0" borderId="0" xfId="0" applyNumberFormat="1" applyAlignment="1">
      <alignment wrapText="1"/>
    </xf>
    <xf numFmtId="4" fontId="0" fillId="54" borderId="95" xfId="0" applyNumberFormat="1" applyFill="1" applyBorder="1" applyAlignment="1">
      <alignment wrapText="1"/>
    </xf>
    <xf numFmtId="4" fontId="0" fillId="54" borderId="9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38" xfId="0" applyNumberFormat="1" applyBorder="1" applyAlignment="1">
      <alignment wrapText="1"/>
    </xf>
    <xf numFmtId="0" fontId="0" fillId="0" borderId="3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1" xfId="0" applyBorder="1"/>
    <xf numFmtId="4" fontId="72" fillId="0" borderId="2" xfId="0" applyNumberFormat="1" applyFont="1" applyBorder="1" applyAlignment="1">
      <alignment wrapText="1"/>
    </xf>
    <xf numFmtId="4" fontId="72" fillId="0" borderId="38" xfId="0" applyNumberFormat="1" applyFont="1" applyBorder="1" applyAlignment="1">
      <alignment wrapText="1"/>
    </xf>
    <xf numFmtId="168" fontId="0" fillId="0" borderId="38" xfId="0" applyNumberFormat="1" applyBorder="1" applyAlignment="1">
      <alignment wrapText="1"/>
    </xf>
    <xf numFmtId="4" fontId="1" fillId="0" borderId="19" xfId="0" applyNumberFormat="1" applyFont="1" applyBorder="1" applyAlignment="1">
      <alignment wrapText="1"/>
    </xf>
    <xf numFmtId="4" fontId="0" fillId="0" borderId="36" xfId="0" applyNumberFormat="1" applyBorder="1" applyAlignment="1">
      <alignment wrapText="1"/>
    </xf>
    <xf numFmtId="4" fontId="0" fillId="56" borderId="6" xfId="0" applyNumberFormat="1" applyFill="1" applyBorder="1" applyAlignment="1">
      <alignment wrapText="1"/>
    </xf>
    <xf numFmtId="4" fontId="0" fillId="0" borderId="6" xfId="0" applyNumberFormat="1" applyBorder="1" applyAlignment="1">
      <alignment wrapText="1"/>
    </xf>
    <xf numFmtId="4" fontId="72" fillId="55" borderId="6" xfId="0" applyNumberFormat="1" applyFont="1" applyFill="1" applyBorder="1" applyAlignment="1">
      <alignment wrapText="1"/>
    </xf>
    <xf numFmtId="4" fontId="72" fillId="55" borderId="5" xfId="0" applyNumberFormat="1" applyFont="1" applyFill="1" applyBorder="1" applyAlignment="1">
      <alignment wrapText="1"/>
    </xf>
    <xf numFmtId="0" fontId="93" fillId="0" borderId="3" xfId="50" applyFont="1" applyBorder="1" applyAlignment="1" applyProtection="1">
      <alignment horizontal="center" vertical="center" wrapText="1"/>
      <protection locked="0"/>
    </xf>
    <xf numFmtId="0" fontId="93" fillId="0" borderId="6" xfId="50" applyFont="1" applyBorder="1" applyAlignment="1" applyProtection="1">
      <alignment horizontal="center" vertical="center" wrapText="1"/>
      <protection locked="0"/>
    </xf>
    <xf numFmtId="0" fontId="93" fillId="58" borderId="6" xfId="50" applyFont="1" applyFill="1" applyBorder="1" applyAlignment="1" applyProtection="1">
      <alignment horizontal="center" vertical="center" wrapText="1"/>
      <protection locked="0"/>
    </xf>
    <xf numFmtId="4" fontId="93" fillId="9" borderId="6" xfId="50" applyNumberFormat="1" applyFont="1" applyFill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6" borderId="6" xfId="0" applyFont="1" applyFill="1" applyBorder="1" applyAlignment="1">
      <alignment horizontal="center" vertical="center"/>
    </xf>
    <xf numFmtId="4" fontId="1" fillId="59" borderId="6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" fillId="60" borderId="6" xfId="0" applyFont="1" applyFill="1" applyBorder="1" applyAlignment="1">
      <alignment horizontal="center" vertical="center"/>
    </xf>
    <xf numFmtId="169" fontId="1" fillId="59" borderId="6" xfId="0" applyNumberFormat="1" applyFont="1" applyFill="1" applyBorder="1" applyAlignment="1">
      <alignment wrapText="1"/>
    </xf>
    <xf numFmtId="49" fontId="1" fillId="3" borderId="6" xfId="0" applyNumberFormat="1" applyFont="1" applyFill="1" applyBorder="1" applyAlignment="1">
      <alignment wrapText="1"/>
    </xf>
    <xf numFmtId="49" fontId="1" fillId="0" borderId="6" xfId="0" applyNumberFormat="1" applyFont="1" applyBorder="1" applyAlignment="1">
      <alignment wrapText="1"/>
    </xf>
    <xf numFmtId="49" fontId="94" fillId="0" borderId="5" xfId="0" applyNumberFormat="1" applyFont="1" applyBorder="1" applyAlignment="1">
      <alignment wrapText="1"/>
    </xf>
    <xf numFmtId="49" fontId="94" fillId="0" borderId="99" xfId="0" applyNumberFormat="1" applyFont="1" applyBorder="1" applyAlignment="1">
      <alignment wrapText="1"/>
    </xf>
    <xf numFmtId="49" fontId="94" fillId="0" borderId="58" xfId="0" applyNumberFormat="1" applyFont="1" applyBorder="1" applyAlignment="1">
      <alignment wrapText="1"/>
    </xf>
    <xf numFmtId="49" fontId="1" fillId="61" borderId="58" xfId="0" applyNumberFormat="1" applyFont="1" applyFill="1" applyBorder="1" applyAlignment="1">
      <alignment wrapText="1"/>
    </xf>
    <xf numFmtId="49" fontId="1" fillId="6" borderId="58" xfId="0" applyNumberFormat="1" applyFont="1" applyFill="1" applyBorder="1" applyAlignment="1">
      <alignment wrapText="1"/>
    </xf>
    <xf numFmtId="49" fontId="1" fillId="62" borderId="99" xfId="0" applyNumberFormat="1" applyFont="1" applyFill="1" applyBorder="1" applyAlignment="1">
      <alignment wrapText="1"/>
    </xf>
    <xf numFmtId="49" fontId="1" fillId="0" borderId="104" xfId="0" applyNumberFormat="1" applyFont="1" applyBorder="1" applyAlignment="1">
      <alignment wrapText="1"/>
    </xf>
    <xf numFmtId="49" fontId="1" fillId="0" borderId="58" xfId="0" applyNumberFormat="1" applyFont="1" applyBorder="1" applyAlignment="1">
      <alignment wrapText="1"/>
    </xf>
    <xf numFmtId="49" fontId="95" fillId="0" borderId="105" xfId="0" applyNumberFormat="1" applyFont="1" applyBorder="1" applyAlignment="1">
      <alignment wrapText="1"/>
    </xf>
    <xf numFmtId="49" fontId="95" fillId="6" borderId="58" xfId="0" applyNumberFormat="1" applyFont="1" applyFill="1" applyBorder="1" applyAlignment="1">
      <alignment wrapText="1"/>
    </xf>
    <xf numFmtId="49" fontId="1" fillId="0" borderId="36" xfId="0" applyNumberFormat="1" applyFont="1" applyBorder="1" applyAlignment="1">
      <alignment wrapText="1"/>
    </xf>
    <xf numFmtId="49" fontId="1" fillId="0" borderId="68" xfId="0" applyNumberFormat="1" applyFont="1" applyBorder="1" applyAlignment="1">
      <alignment wrapText="1"/>
    </xf>
    <xf numFmtId="3" fontId="72" fillId="0" borderId="71" xfId="0" applyNumberFormat="1" applyFont="1" applyBorder="1"/>
    <xf numFmtId="4" fontId="72" fillId="0" borderId="71" xfId="0" applyNumberFormat="1" applyFont="1" applyBorder="1"/>
    <xf numFmtId="9" fontId="72" fillId="0" borderId="71" xfId="71" applyFont="1" applyFill="1" applyBorder="1"/>
    <xf numFmtId="4" fontId="59" fillId="6" borderId="57" xfId="48" applyNumberFormat="1" applyFill="1" applyBorder="1" applyAlignment="1" applyProtection="1">
      <alignment horizontal="right"/>
      <protection locked="0"/>
    </xf>
    <xf numFmtId="4" fontId="59" fillId="62" borderId="94" xfId="48" applyNumberFormat="1" applyFill="1" applyBorder="1" applyAlignment="1" applyProtection="1">
      <alignment horizontal="right"/>
      <protection locked="0"/>
    </xf>
    <xf numFmtId="3" fontId="72" fillId="0" borderId="62" xfId="0" applyNumberFormat="1" applyFont="1" applyBorder="1"/>
    <xf numFmtId="3" fontId="72" fillId="61" borderId="62" xfId="0" applyNumberFormat="1" applyFont="1" applyFill="1" applyBorder="1"/>
    <xf numFmtId="4" fontId="0" fillId="0" borderId="13" xfId="0" applyNumberFormat="1" applyBorder="1"/>
    <xf numFmtId="4" fontId="98" fillId="6" borderId="57" xfId="48" applyNumberFormat="1" applyFont="1" applyFill="1" applyBorder="1" applyAlignment="1" applyProtection="1">
      <alignment horizontal="right"/>
      <protection locked="0"/>
    </xf>
    <xf numFmtId="4" fontId="99" fillId="62" borderId="94" xfId="48" applyNumberFormat="1" applyFont="1" applyFill="1" applyBorder="1" applyAlignment="1" applyProtection="1">
      <alignment horizontal="right"/>
      <protection locked="0"/>
    </xf>
    <xf numFmtId="3" fontId="94" fillId="0" borderId="71" xfId="0" applyNumberFormat="1" applyFont="1" applyBorder="1"/>
    <xf numFmtId="4" fontId="94" fillId="0" borderId="71" xfId="0" applyNumberFormat="1" applyFont="1" applyBorder="1"/>
    <xf numFmtId="3" fontId="94" fillId="0" borderId="62" xfId="0" applyNumberFormat="1" applyFont="1" applyBorder="1"/>
    <xf numFmtId="9" fontId="94" fillId="0" borderId="71" xfId="71" applyFont="1" applyFill="1" applyBorder="1"/>
    <xf numFmtId="3" fontId="102" fillId="61" borderId="62" xfId="0" applyNumberFormat="1" applyFont="1" applyFill="1" applyBorder="1"/>
    <xf numFmtId="4" fontId="102" fillId="6" borderId="62" xfId="0" applyNumberFormat="1" applyFont="1" applyFill="1" applyBorder="1"/>
    <xf numFmtId="4" fontId="103" fillId="62" borderId="94" xfId="48" applyNumberFormat="1" applyFont="1" applyFill="1" applyBorder="1" applyAlignment="1" applyProtection="1">
      <alignment horizontal="right"/>
      <protection locked="0"/>
    </xf>
    <xf numFmtId="4" fontId="1" fillId="6" borderId="13" xfId="0" applyNumberFormat="1" applyFont="1" applyFill="1" applyBorder="1"/>
    <xf numFmtId="9" fontId="1" fillId="0" borderId="0" xfId="71" applyFont="1"/>
    <xf numFmtId="3" fontId="72" fillId="0" borderId="57" xfId="0" applyNumberFormat="1" applyFont="1" applyBorder="1"/>
    <xf numFmtId="0" fontId="96" fillId="0" borderId="61" xfId="50" applyFont="1" applyBorder="1" applyAlignment="1">
      <alignment horizontal="center" vertical="center"/>
    </xf>
    <xf numFmtId="0" fontId="96" fillId="0" borderId="101" xfId="50" applyFont="1" applyBorder="1" applyAlignment="1" applyProtection="1">
      <alignment horizontal="left" vertical="center"/>
      <protection locked="0"/>
    </xf>
    <xf numFmtId="170" fontId="96" fillId="58" borderId="101" xfId="50" applyNumberFormat="1" applyFont="1" applyFill="1" applyBorder="1" applyAlignment="1">
      <alignment vertical="center"/>
    </xf>
    <xf numFmtId="170" fontId="96" fillId="0" borderId="101" xfId="50" applyNumberFormat="1" applyFont="1" applyBorder="1" applyAlignment="1" applyProtection="1">
      <alignment horizontal="right" vertical="center"/>
      <protection locked="0"/>
    </xf>
    <xf numFmtId="170" fontId="0" fillId="9" borderId="101" xfId="0" applyNumberFormat="1" applyFill="1" applyBorder="1"/>
    <xf numFmtId="170" fontId="0" fillId="0" borderId="101" xfId="0" applyNumberFormat="1" applyBorder="1"/>
    <xf numFmtId="170" fontId="0" fillId="4" borderId="101" xfId="0" applyNumberFormat="1" applyFill="1" applyBorder="1" applyAlignment="1">
      <alignment wrapText="1"/>
    </xf>
    <xf numFmtId="170" fontId="4" fillId="6" borderId="101" xfId="0" applyNumberFormat="1" applyFont="1" applyFill="1" applyBorder="1"/>
    <xf numFmtId="170" fontId="0" fillId="59" borderId="101" xfId="0" applyNumberFormat="1" applyFill="1" applyBorder="1" applyAlignment="1">
      <alignment wrapText="1"/>
    </xf>
    <xf numFmtId="170" fontId="0" fillId="3" borderId="54" xfId="0" applyNumberFormat="1" applyFill="1" applyBorder="1" applyAlignment="1">
      <alignment wrapText="1"/>
    </xf>
    <xf numFmtId="3" fontId="0" fillId="60" borderId="101" xfId="0" applyNumberFormat="1" applyFill="1" applyBorder="1"/>
    <xf numFmtId="3" fontId="0" fillId="59" borderId="101" xfId="0" applyNumberFormat="1" applyFill="1" applyBorder="1"/>
    <xf numFmtId="3" fontId="0" fillId="3" borderId="101" xfId="0" applyNumberFormat="1" applyFill="1" applyBorder="1"/>
    <xf numFmtId="9" fontId="0" fillId="3" borderId="101" xfId="71" applyFont="1" applyFill="1" applyBorder="1"/>
    <xf numFmtId="3" fontId="0" fillId="0" borderId="101" xfId="0" applyNumberFormat="1" applyBorder="1"/>
    <xf numFmtId="3" fontId="72" fillId="0" borderId="54" xfId="0" applyNumberFormat="1" applyFont="1" applyBorder="1"/>
    <xf numFmtId="3" fontId="72" fillId="0" borderId="94" xfId="0" applyNumberFormat="1" applyFont="1" applyBorder="1"/>
    <xf numFmtId="4" fontId="72" fillId="0" borderId="94" xfId="0" applyNumberFormat="1" applyFont="1" applyBorder="1"/>
    <xf numFmtId="9" fontId="72" fillId="0" borderId="94" xfId="71" applyFont="1" applyFill="1" applyBorder="1"/>
    <xf numFmtId="3" fontId="72" fillId="61" borderId="57" xfId="0" applyNumberFormat="1" applyFont="1" applyFill="1" applyBorder="1"/>
    <xf numFmtId="4" fontId="72" fillId="6" borderId="86" xfId="0" applyNumberFormat="1" applyFont="1" applyFill="1" applyBorder="1"/>
    <xf numFmtId="4" fontId="0" fillId="0" borderId="112" xfId="0" applyNumberFormat="1" applyBorder="1"/>
    <xf numFmtId="3" fontId="0" fillId="0" borderId="57" xfId="0" applyNumberFormat="1" applyBorder="1"/>
    <xf numFmtId="3" fontId="97" fillId="0" borderId="113" xfId="0" applyNumberFormat="1" applyFont="1" applyBorder="1"/>
    <xf numFmtId="3" fontId="97" fillId="6" borderId="57" xfId="0" applyNumberFormat="1" applyFont="1" applyFill="1" applyBorder="1"/>
    <xf numFmtId="3" fontId="0" fillId="0" borderId="67" xfId="0" applyNumberFormat="1" applyBorder="1"/>
    <xf numFmtId="9" fontId="97" fillId="6" borderId="57" xfId="71" applyFont="1" applyFill="1" applyBorder="1"/>
    <xf numFmtId="0" fontId="93" fillId="0" borderId="39" xfId="50" applyFont="1" applyBorder="1" applyAlignment="1" applyProtection="1">
      <alignment vertical="center"/>
      <protection locked="0"/>
    </xf>
    <xf numFmtId="0" fontId="93" fillId="0" borderId="53" xfId="50" applyFont="1" applyBorder="1" applyAlignment="1" applyProtection="1">
      <alignment vertical="center"/>
      <protection locked="0"/>
    </xf>
    <xf numFmtId="170" fontId="93" fillId="58" borderId="53" xfId="50" applyNumberFormat="1" applyFont="1" applyFill="1" applyBorder="1" applyAlignment="1" applyProtection="1">
      <alignment horizontal="right" vertical="center"/>
      <protection locked="0"/>
    </xf>
    <xf numFmtId="170" fontId="93" fillId="0" borderId="53" xfId="50" applyNumberFormat="1" applyFont="1" applyBorder="1" applyAlignment="1" applyProtection="1">
      <alignment horizontal="right" vertical="center"/>
      <protection locked="0"/>
    </xf>
    <xf numFmtId="170" fontId="93" fillId="9" borderId="53" xfId="50" applyNumberFormat="1" applyFont="1" applyFill="1" applyBorder="1" applyAlignment="1" applyProtection="1">
      <alignment horizontal="right" vertical="center"/>
      <protection locked="0"/>
    </xf>
    <xf numFmtId="170" fontId="93" fillId="4" borderId="53" xfId="50" applyNumberFormat="1" applyFont="1" applyFill="1" applyBorder="1" applyAlignment="1" applyProtection="1">
      <alignment horizontal="right" vertical="center"/>
      <protection locked="0"/>
    </xf>
    <xf numFmtId="170" fontId="1" fillId="0" borderId="53" xfId="0" applyNumberFormat="1" applyFont="1" applyBorder="1"/>
    <xf numFmtId="170" fontId="100" fillId="6" borderId="53" xfId="0" applyNumberFormat="1" applyFont="1" applyFill="1" applyBorder="1"/>
    <xf numFmtId="170" fontId="1" fillId="59" borderId="53" xfId="0" applyNumberFormat="1" applyFont="1" applyFill="1" applyBorder="1" applyAlignment="1">
      <alignment wrapText="1"/>
    </xf>
    <xf numFmtId="170" fontId="1" fillId="3" borderId="53" xfId="0" applyNumberFormat="1" applyFont="1" applyFill="1" applyBorder="1" applyAlignment="1">
      <alignment wrapText="1"/>
    </xf>
    <xf numFmtId="3" fontId="0" fillId="60" borderId="53" xfId="0" applyNumberFormat="1" applyFill="1" applyBorder="1"/>
    <xf numFmtId="3" fontId="0" fillId="59" borderId="53" xfId="0" applyNumberFormat="1" applyFill="1" applyBorder="1"/>
    <xf numFmtId="3" fontId="0" fillId="3" borderId="53" xfId="0" applyNumberFormat="1" applyFill="1" applyBorder="1"/>
    <xf numFmtId="9" fontId="0" fillId="3" borderId="53" xfId="71" applyFont="1" applyFill="1" applyBorder="1"/>
    <xf numFmtId="3" fontId="0" fillId="0" borderId="53" xfId="0" applyNumberFormat="1" applyBorder="1"/>
    <xf numFmtId="3" fontId="72" fillId="0" borderId="38" xfId="0" applyNumberFormat="1" applyFont="1" applyBorder="1"/>
    <xf numFmtId="3" fontId="72" fillId="0" borderId="19" xfId="0" applyNumberFormat="1" applyFont="1" applyBorder="1"/>
    <xf numFmtId="3" fontId="72" fillId="0" borderId="1" xfId="0" applyNumberFormat="1" applyFont="1" applyBorder="1"/>
    <xf numFmtId="3" fontId="72" fillId="61" borderId="19" xfId="0" applyNumberFormat="1" applyFont="1" applyFill="1" applyBorder="1"/>
    <xf numFmtId="4" fontId="59" fillId="62" borderId="1" xfId="48" applyNumberFormat="1" applyFill="1" applyBorder="1" applyAlignment="1" applyProtection="1">
      <alignment horizontal="right"/>
      <protection locked="0"/>
    </xf>
    <xf numFmtId="4" fontId="72" fillId="0" borderId="38" xfId="0" applyNumberFormat="1" applyFont="1" applyBorder="1"/>
    <xf numFmtId="3" fontId="97" fillId="0" borderId="2" xfId="0" applyNumberFormat="1" applyFont="1" applyBorder="1"/>
    <xf numFmtId="3" fontId="95" fillId="6" borderId="19" xfId="0" applyNumberFormat="1" applyFont="1" applyFill="1" applyBorder="1"/>
    <xf numFmtId="3" fontId="72" fillId="0" borderId="55" xfId="0" applyNumberFormat="1" applyFont="1" applyBorder="1"/>
    <xf numFmtId="3" fontId="72" fillId="0" borderId="53" xfId="0" applyNumberFormat="1" applyFont="1" applyBorder="1"/>
    <xf numFmtId="9" fontId="97" fillId="6" borderId="19" xfId="71" applyFont="1" applyFill="1" applyBorder="1"/>
    <xf numFmtId="4" fontId="0" fillId="6" borderId="0" xfId="0" applyNumberFormat="1" applyFill="1"/>
    <xf numFmtId="3" fontId="0" fillId="63" borderId="0" xfId="0" applyNumberFormat="1" applyFill="1"/>
    <xf numFmtId="3" fontId="0" fillId="59" borderId="0" xfId="0" applyNumberFormat="1" applyFill="1"/>
    <xf numFmtId="3" fontId="0" fillId="3" borderId="0" xfId="0" applyNumberFormat="1" applyFill="1"/>
    <xf numFmtId="9" fontId="0" fillId="3" borderId="0" xfId="71" applyFont="1" applyFill="1" applyBorder="1"/>
    <xf numFmtId="9" fontId="72" fillId="0" borderId="62" xfId="71" applyFont="1" applyFill="1" applyBorder="1"/>
    <xf numFmtId="4" fontId="72" fillId="0" borderId="0" xfId="0" applyNumberFormat="1" applyFont="1"/>
    <xf numFmtId="4" fontId="59" fillId="0" borderId="0" xfId="48" applyNumberFormat="1" applyAlignment="1" applyProtection="1">
      <alignment horizontal="right"/>
      <protection locked="0"/>
    </xf>
    <xf numFmtId="3" fontId="72" fillId="0" borderId="14" xfId="0" applyNumberFormat="1" applyFont="1" applyBorder="1"/>
    <xf numFmtId="3" fontId="72" fillId="6" borderId="62" xfId="0" applyNumberFormat="1" applyFont="1" applyFill="1" applyBorder="1"/>
    <xf numFmtId="9" fontId="0" fillId="56" borderId="0" xfId="71" applyFont="1" applyFill="1"/>
    <xf numFmtId="9" fontId="72" fillId="55" borderId="0" xfId="71" applyFont="1" applyFill="1"/>
    <xf numFmtId="0" fontId="96" fillId="0" borderId="104" xfId="50" applyFont="1" applyBorder="1" applyAlignment="1">
      <alignment horizontal="center" vertical="center"/>
    </xf>
    <xf numFmtId="0" fontId="96" fillId="0" borderId="3" xfId="5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36" xfId="0" applyNumberFormat="1" applyBorder="1"/>
    <xf numFmtId="4" fontId="0" fillId="0" borderId="6" xfId="0" applyNumberFormat="1" applyBorder="1"/>
    <xf numFmtId="4" fontId="0" fillId="6" borderId="6" xfId="0" applyNumberFormat="1" applyFill="1" applyBorder="1"/>
    <xf numFmtId="3" fontId="0" fillId="63" borderId="6" xfId="0" applyNumberFormat="1" applyFill="1" applyBorder="1"/>
    <xf numFmtId="3" fontId="0" fillId="59" borderId="6" xfId="0" applyNumberFormat="1" applyFill="1" applyBorder="1"/>
    <xf numFmtId="3" fontId="0" fillId="3" borderId="6" xfId="0" applyNumberFormat="1" applyFill="1" applyBorder="1"/>
    <xf numFmtId="9" fontId="0" fillId="3" borderId="6" xfId="71" applyFont="1" applyFill="1" applyBorder="1"/>
    <xf numFmtId="3" fontId="72" fillId="0" borderId="6" xfId="0" applyNumberFormat="1" applyFont="1" applyBorder="1"/>
    <xf numFmtId="3" fontId="0" fillId="0" borderId="6" xfId="0" applyNumberFormat="1" applyBorder="1"/>
    <xf numFmtId="3" fontId="72" fillId="0" borderId="99" xfId="0" applyNumberFormat="1" applyFont="1" applyBorder="1"/>
    <xf numFmtId="3" fontId="72" fillId="0" borderId="5" xfId="0" applyNumberFormat="1" applyFont="1" applyBorder="1"/>
    <xf numFmtId="3" fontId="72" fillId="0" borderId="3" xfId="0" applyNumberFormat="1" applyFont="1" applyBorder="1"/>
    <xf numFmtId="3" fontId="72" fillId="0" borderId="4" xfId="0" applyNumberFormat="1" applyFont="1" applyBorder="1"/>
    <xf numFmtId="3" fontId="72" fillId="61" borderId="99" xfId="0" applyNumberFormat="1" applyFont="1" applyFill="1" applyBorder="1"/>
    <xf numFmtId="4" fontId="72" fillId="6" borderId="58" xfId="0" applyNumberFormat="1" applyFont="1" applyFill="1" applyBorder="1"/>
    <xf numFmtId="4" fontId="59" fillId="62" borderId="56" xfId="48" applyNumberFormat="1" applyFill="1" applyBorder="1" applyAlignment="1" applyProtection="1">
      <alignment horizontal="right"/>
      <protection locked="0"/>
    </xf>
    <xf numFmtId="3" fontId="72" fillId="6" borderId="58" xfId="0" applyNumberFormat="1" applyFont="1" applyFill="1" applyBorder="1"/>
    <xf numFmtId="3" fontId="0" fillId="0" borderId="36" xfId="0" applyNumberFormat="1" applyBorder="1"/>
    <xf numFmtId="3" fontId="0" fillId="56" borderId="6" xfId="0" applyNumberFormat="1" applyFill="1" applyBorder="1"/>
    <xf numFmtId="3" fontId="72" fillId="55" borderId="6" xfId="0" applyNumberFormat="1" applyFont="1" applyFill="1" applyBorder="1"/>
    <xf numFmtId="3" fontId="72" fillId="55" borderId="5" xfId="0" applyNumberFormat="1" applyFont="1" applyFill="1" applyBorder="1"/>
    <xf numFmtId="3" fontId="72" fillId="61" borderId="71" xfId="0" applyNumberFormat="1" applyFont="1" applyFill="1" applyBorder="1"/>
    <xf numFmtId="4" fontId="59" fillId="62" borderId="57" xfId="48" applyNumberFormat="1" applyFill="1" applyBorder="1" applyAlignment="1" applyProtection="1">
      <alignment horizontal="right"/>
      <protection locked="0"/>
    </xf>
    <xf numFmtId="0" fontId="0" fillId="6" borderId="62" xfId="0" applyFill="1" applyBorder="1"/>
    <xf numFmtId="0" fontId="96" fillId="0" borderId="112" xfId="50" applyFont="1" applyBorder="1" applyAlignment="1" applyProtection="1">
      <alignment horizontal="center" vertical="center"/>
      <protection locked="0"/>
    </xf>
    <xf numFmtId="0" fontId="96" fillId="0" borderId="61" xfId="50" applyFont="1" applyBorder="1" applyAlignment="1" applyProtection="1">
      <alignment horizontal="left" vertical="center"/>
      <protection locked="0"/>
    </xf>
    <xf numFmtId="170" fontId="96" fillId="58" borderId="101" xfId="50" applyNumberFormat="1" applyFont="1" applyFill="1" applyBorder="1" applyAlignment="1" applyProtection="1">
      <alignment vertical="center"/>
      <protection locked="0"/>
    </xf>
    <xf numFmtId="170" fontId="0" fillId="9" borderId="102" xfId="0" applyNumberFormat="1" applyFill="1" applyBorder="1"/>
    <xf numFmtId="170" fontId="0" fillId="0" borderId="67" xfId="0" applyNumberFormat="1" applyBorder="1"/>
    <xf numFmtId="170" fontId="0" fillId="6" borderId="101" xfId="0" applyNumberFormat="1" applyFill="1" applyBorder="1"/>
    <xf numFmtId="3" fontId="72" fillId="0" borderId="67" xfId="0" applyNumberFormat="1" applyFont="1" applyBorder="1"/>
    <xf numFmtId="3" fontId="72" fillId="0" borderId="113" xfId="0" applyNumberFormat="1" applyFont="1" applyBorder="1"/>
    <xf numFmtId="3" fontId="72" fillId="61" borderId="94" xfId="0" applyNumberFormat="1" applyFont="1" applyFill="1" applyBorder="1"/>
    <xf numFmtId="0" fontId="96" fillId="0" borderId="114" xfId="50" applyFont="1" applyBorder="1" applyAlignment="1" applyProtection="1">
      <alignment horizontal="center" vertical="center"/>
      <protection locked="0"/>
    </xf>
    <xf numFmtId="0" fontId="96" fillId="0" borderId="15" xfId="50" applyFont="1" applyBorder="1" applyAlignment="1" applyProtection="1">
      <alignment horizontal="left" vertical="center"/>
      <protection locked="0"/>
    </xf>
    <xf numFmtId="170" fontId="96" fillId="58" borderId="22" xfId="50" applyNumberFormat="1" applyFont="1" applyFill="1" applyBorder="1" applyAlignment="1" applyProtection="1">
      <alignment vertical="center"/>
      <protection locked="0"/>
    </xf>
    <xf numFmtId="170" fontId="96" fillId="0" borderId="22" xfId="50" applyNumberFormat="1" applyFont="1" applyBorder="1" applyAlignment="1" applyProtection="1">
      <alignment horizontal="right" vertical="center"/>
      <protection locked="0"/>
    </xf>
    <xf numFmtId="170" fontId="0" fillId="9" borderId="16" xfId="0" applyNumberFormat="1" applyFill="1" applyBorder="1"/>
    <xf numFmtId="4" fontId="59" fillId="6" borderId="86" xfId="48" applyNumberFormat="1" applyFill="1" applyBorder="1" applyAlignment="1" applyProtection="1">
      <alignment horizontal="right"/>
      <protection locked="0"/>
    </xf>
    <xf numFmtId="4" fontId="59" fillId="62" borderId="86" xfId="48" applyNumberFormat="1" applyFill="1" applyBorder="1" applyAlignment="1" applyProtection="1">
      <alignment horizontal="right"/>
      <protection locked="0"/>
    </xf>
    <xf numFmtId="0" fontId="96" fillId="0" borderId="13" xfId="50" applyFont="1" applyBorder="1" applyAlignment="1" applyProtection="1">
      <alignment horizontal="center" vertical="center"/>
      <protection locked="0"/>
    </xf>
    <xf numFmtId="0" fontId="96" fillId="0" borderId="115" xfId="50" applyFont="1" applyBorder="1" applyAlignment="1" applyProtection="1">
      <alignment horizontal="left" vertical="center"/>
      <protection locked="0"/>
    </xf>
    <xf numFmtId="170" fontId="96" fillId="58" borderId="27" xfId="50" applyNumberFormat="1" applyFont="1" applyFill="1" applyBorder="1" applyAlignment="1" applyProtection="1">
      <alignment vertical="center"/>
      <protection locked="0"/>
    </xf>
    <xf numFmtId="170" fontId="96" fillId="0" borderId="27" xfId="50" applyNumberFormat="1" applyFont="1" applyBorder="1" applyAlignment="1" applyProtection="1">
      <alignment horizontal="right" vertical="center"/>
      <protection locked="0"/>
    </xf>
    <xf numFmtId="170" fontId="0" fillId="9" borderId="27" xfId="0" applyNumberFormat="1" applyFill="1" applyBorder="1"/>
    <xf numFmtId="170" fontId="0" fillId="0" borderId="27" xfId="0" applyNumberFormat="1" applyBorder="1"/>
    <xf numFmtId="170" fontId="0" fillId="4" borderId="27" xfId="0" applyNumberFormat="1" applyFill="1" applyBorder="1" applyAlignment="1">
      <alignment wrapText="1"/>
    </xf>
    <xf numFmtId="170" fontId="0" fillId="6" borderId="27" xfId="0" applyNumberFormat="1" applyFill="1" applyBorder="1"/>
    <xf numFmtId="170" fontId="0" fillId="59" borderId="27" xfId="0" applyNumberFormat="1" applyFill="1" applyBorder="1" applyAlignment="1">
      <alignment wrapText="1"/>
    </xf>
    <xf numFmtId="170" fontId="0" fillId="3" borderId="35" xfId="0" applyNumberFormat="1" applyFill="1" applyBorder="1" applyAlignment="1">
      <alignment wrapText="1"/>
    </xf>
    <xf numFmtId="3" fontId="0" fillId="60" borderId="27" xfId="0" applyNumberFormat="1" applyFill="1" applyBorder="1"/>
    <xf numFmtId="3" fontId="0" fillId="59" borderId="27" xfId="0" applyNumberFormat="1" applyFill="1" applyBorder="1"/>
    <xf numFmtId="3" fontId="0" fillId="3" borderId="27" xfId="0" applyNumberFormat="1" applyFill="1" applyBorder="1"/>
    <xf numFmtId="9" fontId="0" fillId="3" borderId="27" xfId="71" applyFont="1" applyFill="1" applyBorder="1"/>
    <xf numFmtId="3" fontId="0" fillId="0" borderId="27" xfId="0" applyNumberFormat="1" applyBorder="1"/>
    <xf numFmtId="3" fontId="72" fillId="0" borderId="35" xfId="0" applyNumberFormat="1" applyFont="1" applyBorder="1"/>
    <xf numFmtId="3" fontId="72" fillId="0" borderId="25" xfId="0" applyNumberFormat="1" applyFont="1" applyBorder="1"/>
    <xf numFmtId="3" fontId="72" fillId="61" borderId="0" xfId="0" applyNumberFormat="1" applyFont="1" applyFill="1"/>
    <xf numFmtId="4" fontId="72" fillId="6" borderId="27" xfId="0" applyNumberFormat="1" applyFont="1" applyFill="1" applyBorder="1"/>
    <xf numFmtId="4" fontId="59" fillId="62" borderId="0" xfId="48" applyNumberFormat="1" applyFill="1" applyAlignment="1" applyProtection="1">
      <alignment horizontal="right"/>
      <protection locked="0"/>
    </xf>
    <xf numFmtId="3" fontId="72" fillId="0" borderId="102" xfId="0" applyNumberFormat="1" applyFont="1" applyBorder="1"/>
    <xf numFmtId="3" fontId="72" fillId="6" borderId="57" xfId="0" applyNumberFormat="1" applyFont="1" applyFill="1" applyBorder="1"/>
    <xf numFmtId="9" fontId="72" fillId="6" borderId="57" xfId="71" applyFont="1" applyFill="1" applyBorder="1"/>
    <xf numFmtId="3" fontId="0" fillId="56" borderId="101" xfId="0" applyNumberFormat="1" applyFill="1" applyBorder="1"/>
    <xf numFmtId="3" fontId="72" fillId="55" borderId="101" xfId="0" applyNumberFormat="1" applyFont="1" applyFill="1" applyBorder="1"/>
    <xf numFmtId="3" fontId="72" fillId="55" borderId="54" xfId="0" applyNumberFormat="1" applyFont="1" applyFill="1" applyBorder="1"/>
    <xf numFmtId="0" fontId="93" fillId="0" borderId="1" xfId="50" applyFont="1" applyBorder="1" applyAlignment="1" applyProtection="1">
      <alignment vertical="center"/>
      <protection locked="0"/>
    </xf>
    <xf numFmtId="170" fontId="1" fillId="6" borderId="53" xfId="0" applyNumberFormat="1" applyFont="1" applyFill="1" applyBorder="1"/>
    <xf numFmtId="170" fontId="1" fillId="3" borderId="41" xfId="0" applyNumberFormat="1" applyFont="1" applyFill="1" applyBorder="1" applyAlignment="1">
      <alignment wrapText="1"/>
    </xf>
    <xf numFmtId="3" fontId="0" fillId="0" borderId="41" xfId="0" applyNumberFormat="1" applyBorder="1"/>
    <xf numFmtId="3" fontId="0" fillId="0" borderId="38" xfId="0" applyNumberFormat="1" applyBorder="1"/>
    <xf numFmtId="3" fontId="0" fillId="0" borderId="19" xfId="0" applyNumberFormat="1" applyBorder="1"/>
    <xf numFmtId="3" fontId="0" fillId="61" borderId="38" xfId="0" applyNumberFormat="1" applyFill="1" applyBorder="1"/>
    <xf numFmtId="4" fontId="0" fillId="6" borderId="53" xfId="0" applyNumberFormat="1" applyFill="1" applyBorder="1"/>
    <xf numFmtId="4" fontId="59" fillId="62" borderId="38" xfId="48" applyNumberFormat="1" applyFill="1" applyBorder="1" applyAlignment="1" applyProtection="1">
      <alignment horizontal="right"/>
      <protection locked="0"/>
    </xf>
    <xf numFmtId="3" fontId="0" fillId="0" borderId="55" xfId="0" applyNumberFormat="1" applyBorder="1"/>
    <xf numFmtId="3" fontId="72" fillId="0" borderId="40" xfId="0" applyNumberFormat="1" applyFont="1" applyBorder="1"/>
    <xf numFmtId="3" fontId="72" fillId="6" borderId="19" xfId="0" applyNumberFormat="1" applyFont="1" applyFill="1" applyBorder="1"/>
    <xf numFmtId="3" fontId="0" fillId="0" borderId="2" xfId="0" applyNumberFormat="1" applyBorder="1"/>
    <xf numFmtId="3" fontId="0" fillId="0" borderId="40" xfId="0" applyNumberFormat="1" applyBorder="1"/>
    <xf numFmtId="9" fontId="72" fillId="6" borderId="19" xfId="71" applyFont="1" applyFill="1" applyBorder="1"/>
    <xf numFmtId="3" fontId="0" fillId="56" borderId="53" xfId="0" applyNumberFormat="1" applyFill="1" applyBorder="1"/>
    <xf numFmtId="3" fontId="0" fillId="0" borderId="64" xfId="0" applyNumberFormat="1" applyBorder="1"/>
    <xf numFmtId="3" fontId="72" fillId="55" borderId="39" xfId="0" applyNumberFormat="1" applyFont="1" applyFill="1" applyBorder="1"/>
    <xf numFmtId="3" fontId="72" fillId="55" borderId="41" xfId="0" applyNumberFormat="1" applyFont="1" applyFill="1" applyBorder="1"/>
    <xf numFmtId="0" fontId="62" fillId="0" borderId="13" xfId="51" applyBorder="1"/>
    <xf numFmtId="0" fontId="62" fillId="0" borderId="0" xfId="51"/>
    <xf numFmtId="0" fontId="0" fillId="0" borderId="27" xfId="0" applyBorder="1"/>
    <xf numFmtId="9" fontId="0" fillId="0" borderId="27" xfId="71" applyFont="1" applyFill="1" applyBorder="1"/>
    <xf numFmtId="0" fontId="72" fillId="0" borderId="35" xfId="0" applyFont="1" applyBorder="1"/>
    <xf numFmtId="0" fontId="0" fillId="0" borderId="25" xfId="0" applyBorder="1"/>
    <xf numFmtId="3" fontId="72" fillId="0" borderId="37" xfId="0" applyNumberFormat="1" applyFont="1" applyBorder="1"/>
    <xf numFmtId="9" fontId="72" fillId="6" borderId="62" xfId="71" applyFont="1" applyFill="1" applyBorder="1"/>
    <xf numFmtId="0" fontId="0" fillId="56" borderId="27" xfId="0" applyFill="1" applyBorder="1"/>
    <xf numFmtId="0" fontId="72" fillId="55" borderId="27" xfId="0" applyFont="1" applyFill="1" applyBorder="1"/>
    <xf numFmtId="0" fontId="72" fillId="55" borderId="35" xfId="0" applyFont="1" applyFill="1" applyBorder="1"/>
    <xf numFmtId="0" fontId="1" fillId="0" borderId="53" xfId="0" applyFont="1" applyBorder="1" applyAlignment="1">
      <alignment vertical="center"/>
    </xf>
    <xf numFmtId="3" fontId="93" fillId="58" borderId="53" xfId="50" applyNumberFormat="1" applyFont="1" applyFill="1" applyBorder="1" applyAlignment="1" applyProtection="1">
      <alignment horizontal="right" vertical="center"/>
      <protection locked="0"/>
    </xf>
    <xf numFmtId="3" fontId="93" fillId="0" borderId="53" xfId="50" applyNumberFormat="1" applyFont="1" applyBorder="1" applyAlignment="1" applyProtection="1">
      <alignment horizontal="right" vertical="center"/>
      <protection locked="0"/>
    </xf>
    <xf numFmtId="3" fontId="93" fillId="9" borderId="53" xfId="50" applyNumberFormat="1" applyFont="1" applyFill="1" applyBorder="1" applyAlignment="1" applyProtection="1">
      <alignment horizontal="right" vertical="center"/>
      <protection locked="0"/>
    </xf>
    <xf numFmtId="3" fontId="93" fillId="4" borderId="53" xfId="50" applyNumberFormat="1" applyFont="1" applyFill="1" applyBorder="1" applyAlignment="1" applyProtection="1">
      <alignment horizontal="right" vertical="center"/>
      <protection locked="0"/>
    </xf>
    <xf numFmtId="3" fontId="1" fillId="0" borderId="53" xfId="0" applyNumberFormat="1" applyFont="1" applyBorder="1"/>
    <xf numFmtId="3" fontId="1" fillId="6" borderId="53" xfId="0" applyNumberFormat="1" applyFont="1" applyFill="1" applyBorder="1"/>
    <xf numFmtId="3" fontId="1" fillId="59" borderId="53" xfId="0" applyNumberFormat="1" applyFont="1" applyFill="1" applyBorder="1" applyAlignment="1">
      <alignment wrapText="1"/>
    </xf>
    <xf numFmtId="3" fontId="1" fillId="3" borderId="41" xfId="0" applyNumberFormat="1" applyFont="1" applyFill="1" applyBorder="1" applyAlignment="1">
      <alignment wrapText="1"/>
    </xf>
    <xf numFmtId="3" fontId="0" fillId="61" borderId="2" xfId="0" applyNumberFormat="1" applyFill="1" applyBorder="1"/>
    <xf numFmtId="3" fontId="0" fillId="6" borderId="38" xfId="0" applyNumberFormat="1" applyFill="1" applyBorder="1"/>
    <xf numFmtId="3" fontId="105" fillId="55" borderId="39" xfId="0" applyNumberFormat="1" applyFont="1" applyFill="1" applyBorder="1"/>
    <xf numFmtId="3" fontId="105" fillId="55" borderId="41" xfId="0" applyNumberFormat="1" applyFont="1" applyFill="1" applyBorder="1"/>
    <xf numFmtId="3" fontId="0" fillId="0" borderId="21" xfId="0" applyNumberFormat="1" applyBorder="1"/>
    <xf numFmtId="0" fontId="0" fillId="0" borderId="21" xfId="0" applyBorder="1"/>
    <xf numFmtId="9" fontId="0" fillId="0" borderId="21" xfId="71" applyFont="1" applyFill="1" applyBorder="1"/>
    <xf numFmtId="0" fontId="72" fillId="0" borderId="66" xfId="0" applyFont="1" applyBorder="1"/>
    <xf numFmtId="3" fontId="72" fillId="0" borderId="31" xfId="0" applyNumberFormat="1" applyFont="1" applyBorder="1"/>
    <xf numFmtId="0" fontId="72" fillId="0" borderId="31" xfId="0" applyFont="1" applyBorder="1"/>
    <xf numFmtId="3" fontId="72" fillId="0" borderId="65" xfId="0" applyNumberFormat="1" applyFont="1" applyBorder="1"/>
    <xf numFmtId="3" fontId="72" fillId="61" borderId="116" xfId="0" applyNumberFormat="1" applyFont="1" applyFill="1" applyBorder="1"/>
    <xf numFmtId="3" fontId="72" fillId="6" borderId="31" xfId="0" applyNumberFormat="1" applyFont="1" applyFill="1" applyBorder="1"/>
    <xf numFmtId="0" fontId="0" fillId="0" borderId="24" xfId="0" applyBorder="1"/>
    <xf numFmtId="3" fontId="72" fillId="0" borderId="32" xfId="0" applyNumberFormat="1" applyFont="1" applyBorder="1"/>
    <xf numFmtId="3" fontId="72" fillId="6" borderId="65" xfId="0" applyNumberFormat="1" applyFont="1" applyFill="1" applyBorder="1"/>
    <xf numFmtId="9" fontId="72" fillId="6" borderId="65" xfId="71" applyFont="1" applyFill="1" applyBorder="1"/>
    <xf numFmtId="0" fontId="0" fillId="56" borderId="21" xfId="0" applyFill="1" applyBorder="1"/>
    <xf numFmtId="0" fontId="72" fillId="55" borderId="21" xfId="0" applyFont="1" applyFill="1" applyBorder="1"/>
    <xf numFmtId="0" fontId="72" fillId="55" borderId="66" xfId="0" applyFont="1" applyFill="1" applyBorder="1"/>
    <xf numFmtId="3" fontId="0" fillId="0" borderId="71" xfId="0" applyNumberFormat="1" applyBorder="1"/>
    <xf numFmtId="3" fontId="0" fillId="6" borderId="71" xfId="0" applyNumberFormat="1" applyFill="1" applyBorder="1"/>
    <xf numFmtId="0" fontId="96" fillId="0" borderId="61" xfId="50" applyFont="1" applyBorder="1" applyAlignment="1" applyProtection="1">
      <alignment vertical="center"/>
      <protection locked="0"/>
    </xf>
    <xf numFmtId="0" fontId="96" fillId="0" borderId="101" xfId="50" applyFont="1" applyBorder="1" applyAlignment="1" applyProtection="1">
      <alignment vertical="center"/>
      <protection locked="0"/>
    </xf>
    <xf numFmtId="3" fontId="96" fillId="58" borderId="101" xfId="50" applyNumberFormat="1" applyFont="1" applyFill="1" applyBorder="1" applyAlignment="1" applyProtection="1">
      <alignment horizontal="right" vertical="center"/>
      <protection locked="0"/>
    </xf>
    <xf numFmtId="3" fontId="96" fillId="0" borderId="101" xfId="50" applyNumberFormat="1" applyFont="1" applyBorder="1" applyAlignment="1" applyProtection="1">
      <alignment horizontal="right" vertical="center"/>
      <protection locked="0"/>
    </xf>
    <xf numFmtId="3" fontId="96" fillId="9" borderId="101" xfId="50" applyNumberFormat="1" applyFont="1" applyFill="1" applyBorder="1" applyAlignment="1" applyProtection="1">
      <alignment horizontal="right" vertical="center"/>
      <protection locked="0"/>
    </xf>
    <xf numFmtId="3" fontId="96" fillId="4" borderId="101" xfId="50" applyNumberFormat="1" applyFont="1" applyFill="1" applyBorder="1" applyAlignment="1" applyProtection="1">
      <alignment horizontal="right" vertical="center"/>
      <protection locked="0"/>
    </xf>
    <xf numFmtId="3" fontId="0" fillId="6" borderId="101" xfId="0" applyNumberFormat="1" applyFill="1" applyBorder="1"/>
    <xf numFmtId="3" fontId="0" fillId="59" borderId="101" xfId="0" applyNumberFormat="1" applyFill="1" applyBorder="1" applyAlignment="1">
      <alignment wrapText="1"/>
    </xf>
    <xf numFmtId="3" fontId="0" fillId="3" borderId="54" xfId="0" applyNumberFormat="1" applyFill="1" applyBorder="1" applyAlignment="1">
      <alignment wrapText="1"/>
    </xf>
    <xf numFmtId="3" fontId="0" fillId="0" borderId="54" xfId="0" applyNumberFormat="1" applyBorder="1"/>
    <xf numFmtId="3" fontId="0" fillId="0" borderId="94" xfId="0" applyNumberFormat="1" applyBorder="1"/>
    <xf numFmtId="3" fontId="0" fillId="61" borderId="113" xfId="0" applyNumberFormat="1" applyFill="1" applyBorder="1"/>
    <xf numFmtId="3" fontId="0" fillId="6" borderId="94" xfId="0" applyNumberFormat="1" applyFill="1" applyBorder="1"/>
    <xf numFmtId="3" fontId="0" fillId="6" borderId="19" xfId="0" applyNumberFormat="1" applyFill="1" applyBorder="1"/>
    <xf numFmtId="3" fontId="0" fillId="6" borderId="55" xfId="0" applyNumberFormat="1" applyFill="1" applyBorder="1"/>
    <xf numFmtId="3" fontId="53" fillId="6" borderId="53" xfId="0" applyNumberFormat="1" applyFont="1" applyFill="1" applyBorder="1"/>
    <xf numFmtId="3" fontId="72" fillId="6" borderId="40" xfId="0" applyNumberFormat="1" applyFont="1" applyFill="1" applyBorder="1"/>
    <xf numFmtId="3" fontId="72" fillId="6" borderId="41" xfId="0" applyNumberFormat="1" applyFont="1" applyFill="1" applyBorder="1"/>
    <xf numFmtId="3" fontId="72" fillId="55" borderId="53" xfId="0" applyNumberFormat="1" applyFont="1" applyFill="1" applyBorder="1"/>
    <xf numFmtId="0" fontId="96" fillId="0" borderId="0" xfId="50" applyFont="1" applyAlignment="1" applyProtection="1">
      <alignment horizontal="center" vertical="center"/>
      <protection locked="0"/>
    </xf>
    <xf numFmtId="0" fontId="96" fillId="0" borderId="0" xfId="50" applyFont="1" applyAlignment="1" applyProtection="1">
      <alignment horizontal="left" vertical="center"/>
      <protection locked="0"/>
    </xf>
    <xf numFmtId="171" fontId="96" fillId="0" borderId="0" xfId="53" applyNumberFormat="1" applyFont="1" applyBorder="1" applyAlignment="1" applyProtection="1">
      <alignment horizontal="left" vertical="center"/>
      <protection locked="0"/>
    </xf>
    <xf numFmtId="3" fontId="0" fillId="63" borderId="27" xfId="0" applyNumberFormat="1" applyFill="1" applyBorder="1"/>
    <xf numFmtId="3" fontId="53" fillId="0" borderId="0" xfId="0" applyNumberFormat="1" applyFont="1"/>
    <xf numFmtId="0" fontId="72" fillId="7" borderId="0" xfId="0" applyFont="1" applyFill="1"/>
    <xf numFmtId="0" fontId="96" fillId="0" borderId="0" xfId="50" applyFont="1" applyAlignment="1" applyProtection="1">
      <alignment vertical="center"/>
      <protection locked="0"/>
    </xf>
    <xf numFmtId="171" fontId="96" fillId="0" borderId="0" xfId="53" applyNumberFormat="1" applyFont="1" applyAlignment="1" applyProtection="1">
      <alignment vertical="center"/>
      <protection locked="0"/>
    </xf>
    <xf numFmtId="4" fontId="53" fillId="0" borderId="0" xfId="0" applyNumberFormat="1" applyFont="1" applyAlignment="1">
      <alignment wrapText="1"/>
    </xf>
    <xf numFmtId="4" fontId="72" fillId="0" borderId="0" xfId="0" applyNumberFormat="1" applyFont="1" applyAlignment="1">
      <alignment wrapText="1"/>
    </xf>
    <xf numFmtId="4" fontId="72" fillId="7" borderId="0" xfId="0" applyNumberFormat="1" applyFont="1" applyFill="1" applyAlignment="1">
      <alignment wrapText="1"/>
    </xf>
    <xf numFmtId="0" fontId="53" fillId="0" borderId="0" xfId="0" applyFont="1"/>
    <xf numFmtId="9" fontId="72" fillId="0" borderId="0" xfId="71" applyFont="1"/>
    <xf numFmtId="49" fontId="1" fillId="0" borderId="0" xfId="0" applyNumberFormat="1" applyFont="1" applyAlignment="1">
      <alignment wrapText="1"/>
    </xf>
    <xf numFmtId="49" fontId="1" fillId="0" borderId="25" xfId="0" applyNumberFormat="1" applyFont="1" applyBorder="1" applyAlignment="1">
      <alignment wrapText="1"/>
    </xf>
    <xf numFmtId="49" fontId="0" fillId="0" borderId="0" xfId="0" applyNumberFormat="1"/>
    <xf numFmtId="9" fontId="0" fillId="0" borderId="61" xfId="71" applyFont="1" applyFill="1" applyBorder="1"/>
    <xf numFmtId="3" fontId="0" fillId="0" borderId="3" xfId="0" applyNumberFormat="1" applyBorder="1"/>
    <xf numFmtId="3" fontId="0" fillId="0" borderId="61" xfId="0" applyNumberFormat="1" applyBorder="1"/>
    <xf numFmtId="0" fontId="0" fillId="0" borderId="115" xfId="0" applyBorder="1"/>
    <xf numFmtId="3" fontId="53" fillId="0" borderId="39" xfId="0" applyNumberFormat="1" applyFont="1" applyBorder="1"/>
    <xf numFmtId="0" fontId="0" fillId="0" borderId="68" xfId="0" applyBorder="1"/>
    <xf numFmtId="3" fontId="72" fillId="0" borderId="112" xfId="0" applyNumberFormat="1" applyFont="1" applyBorder="1"/>
    <xf numFmtId="9" fontId="0" fillId="57" borderId="67" xfId="71" applyFont="1" applyFill="1" applyBorder="1"/>
    <xf numFmtId="3" fontId="0" fillId="57" borderId="36" xfId="0" applyNumberFormat="1" applyFill="1" applyBorder="1"/>
    <xf numFmtId="3" fontId="0" fillId="57" borderId="67" xfId="0" applyNumberFormat="1" applyFill="1" applyBorder="1"/>
    <xf numFmtId="0" fontId="0" fillId="57" borderId="25" xfId="0" applyFill="1" applyBorder="1"/>
    <xf numFmtId="3" fontId="53" fillId="57" borderId="39" xfId="0" applyNumberFormat="1" applyFont="1" applyFill="1" applyBorder="1"/>
    <xf numFmtId="0" fontId="0" fillId="57" borderId="24" xfId="0" applyFill="1" applyBorder="1"/>
    <xf numFmtId="3" fontId="72" fillId="57" borderId="112" xfId="0" applyNumberFormat="1" applyFont="1" applyFill="1" applyBorder="1"/>
    <xf numFmtId="3" fontId="72" fillId="57" borderId="1" xfId="0" applyNumberFormat="1" applyFont="1" applyFill="1" applyBorder="1"/>
    <xf numFmtId="9" fontId="0" fillId="55" borderId="67" xfId="71" applyFont="1" applyFill="1" applyBorder="1"/>
    <xf numFmtId="9" fontId="0" fillId="55" borderId="101" xfId="71" applyFont="1" applyFill="1" applyBorder="1"/>
    <xf numFmtId="9" fontId="0" fillId="55" borderId="54" xfId="71" applyFont="1" applyFill="1" applyBorder="1"/>
    <xf numFmtId="3" fontId="0" fillId="55" borderId="36" xfId="0" applyNumberFormat="1" applyFill="1" applyBorder="1"/>
    <xf numFmtId="3" fontId="0" fillId="55" borderId="6" xfId="0" applyNumberFormat="1" applyFill="1" applyBorder="1"/>
    <xf numFmtId="3" fontId="0" fillId="55" borderId="5" xfId="0" applyNumberFormat="1" applyFill="1" applyBorder="1"/>
    <xf numFmtId="3" fontId="0" fillId="55" borderId="67" xfId="0" applyNumberFormat="1" applyFill="1" applyBorder="1"/>
    <xf numFmtId="3" fontId="0" fillId="55" borderId="101" xfId="0" applyNumberFormat="1" applyFill="1" applyBorder="1"/>
    <xf numFmtId="3" fontId="0" fillId="55" borderId="54" xfId="0" applyNumberFormat="1" applyFill="1" applyBorder="1"/>
    <xf numFmtId="0" fontId="0" fillId="55" borderId="25" xfId="0" applyFill="1" applyBorder="1"/>
    <xf numFmtId="0" fontId="0" fillId="55" borderId="27" xfId="0" applyFill="1" applyBorder="1"/>
    <xf numFmtId="0" fontId="0" fillId="55" borderId="35" xfId="0" applyFill="1" applyBorder="1"/>
    <xf numFmtId="3" fontId="53" fillId="55" borderId="39" xfId="0" applyNumberFormat="1" applyFont="1" applyFill="1" applyBorder="1"/>
    <xf numFmtId="3" fontId="53" fillId="55" borderId="53" xfId="0" applyNumberFormat="1" applyFont="1" applyFill="1" applyBorder="1"/>
    <xf numFmtId="3" fontId="53" fillId="55" borderId="41" xfId="0" applyNumberFormat="1" applyFont="1" applyFill="1" applyBorder="1"/>
    <xf numFmtId="0" fontId="0" fillId="55" borderId="24" xfId="0" applyFill="1" applyBorder="1"/>
    <xf numFmtId="0" fontId="0" fillId="55" borderId="21" xfId="0" applyFill="1" applyBorder="1"/>
    <xf numFmtId="0" fontId="0" fillId="55" borderId="66" xfId="0" applyFill="1" applyBorder="1"/>
    <xf numFmtId="3" fontId="72" fillId="55" borderId="112" xfId="0" applyNumberFormat="1" applyFont="1" applyFill="1" applyBorder="1"/>
    <xf numFmtId="3" fontId="72" fillId="55" borderId="1" xfId="0" applyNumberFormat="1" applyFont="1" applyFill="1" applyBorder="1"/>
    <xf numFmtId="4" fontId="36" fillId="0" borderId="3" xfId="0" applyNumberFormat="1" applyFont="1" applyBorder="1" applyAlignment="1">
      <alignment wrapText="1"/>
    </xf>
    <xf numFmtId="4" fontId="36" fillId="57" borderId="99" xfId="0" applyNumberFormat="1" applyFont="1" applyFill="1" applyBorder="1" applyAlignment="1">
      <alignment wrapText="1"/>
    </xf>
    <xf numFmtId="4" fontId="36" fillId="55" borderId="4" xfId="0" applyNumberFormat="1" applyFont="1" applyFill="1" applyBorder="1" applyAlignment="1">
      <alignment wrapText="1"/>
    </xf>
    <xf numFmtId="4" fontId="36" fillId="55" borderId="5" xfId="0" applyNumberFormat="1" applyFont="1" applyFill="1" applyBorder="1" applyAlignment="1">
      <alignment wrapText="1"/>
    </xf>
    <xf numFmtId="3" fontId="106" fillId="0" borderId="39" xfId="0" applyNumberFormat="1" applyFont="1" applyBorder="1"/>
    <xf numFmtId="3" fontId="106" fillId="57" borderId="39" xfId="0" applyNumberFormat="1" applyFont="1" applyFill="1" applyBorder="1"/>
    <xf numFmtId="3" fontId="106" fillId="55" borderId="55" xfId="0" applyNumberFormat="1" applyFont="1" applyFill="1" applyBorder="1"/>
    <xf numFmtId="3" fontId="106" fillId="55" borderId="53" xfId="0" applyNumberFormat="1" applyFont="1" applyFill="1" applyBorder="1"/>
    <xf numFmtId="3" fontId="106" fillId="55" borderId="41" xfId="0" applyNumberFormat="1" applyFont="1" applyFill="1" applyBorder="1"/>
    <xf numFmtId="3" fontId="88" fillId="0" borderId="22" xfId="0" applyNumberFormat="1" applyFont="1" applyBorder="1"/>
    <xf numFmtId="3" fontId="88" fillId="0" borderId="16" xfId="0" applyNumberFormat="1" applyFont="1" applyBorder="1"/>
    <xf numFmtId="0" fontId="88" fillId="0" borderId="3" xfId="0" applyFont="1" applyBorder="1"/>
    <xf numFmtId="0" fontId="88" fillId="0" borderId="6" xfId="0" applyFont="1" applyBorder="1"/>
    <xf numFmtId="0" fontId="107" fillId="0" borderId="6" xfId="0" applyFont="1" applyBorder="1"/>
    <xf numFmtId="4" fontId="89" fillId="0" borderId="6" xfId="0" applyNumberFormat="1" applyFont="1" applyBorder="1" applyAlignment="1">
      <alignment wrapText="1"/>
    </xf>
    <xf numFmtId="4" fontId="89" fillId="0" borderId="4" xfId="0" applyNumberFormat="1" applyFont="1" applyBorder="1" applyAlignment="1">
      <alignment wrapText="1"/>
    </xf>
    <xf numFmtId="0" fontId="88" fillId="0" borderId="15" xfId="0" applyFont="1" applyBorder="1"/>
    <xf numFmtId="0" fontId="88" fillId="0" borderId="22" xfId="0" applyFont="1" applyBorder="1"/>
    <xf numFmtId="0" fontId="107" fillId="0" borderId="22" xfId="0" applyFont="1" applyBorder="1"/>
    <xf numFmtId="0" fontId="0" fillId="0" borderId="0" xfId="0" applyAlignment="1">
      <alignment horizontal="center"/>
    </xf>
    <xf numFmtId="0" fontId="0" fillId="64" borderId="0" xfId="0" applyFill="1" applyAlignment="1">
      <alignment horizontal="center"/>
    </xf>
    <xf numFmtId="0" fontId="108" fillId="0" borderId="1" xfId="0" applyFont="1" applyBorder="1"/>
    <xf numFmtId="0" fontId="108" fillId="0" borderId="1" xfId="0" applyFont="1" applyBorder="1" applyAlignment="1">
      <alignment horizontal="center"/>
    </xf>
    <xf numFmtId="0" fontId="108" fillId="0" borderId="38" xfId="0" applyFont="1" applyBorder="1" applyAlignment="1">
      <alignment horizontal="center"/>
    </xf>
    <xf numFmtId="0" fontId="108" fillId="64" borderId="38" xfId="0" applyFont="1" applyFill="1" applyBorder="1" applyAlignment="1">
      <alignment horizontal="center"/>
    </xf>
    <xf numFmtId="0" fontId="108" fillId="0" borderId="38" xfId="0" applyFont="1" applyBorder="1"/>
    <xf numFmtId="0" fontId="108" fillId="0" borderId="2" xfId="0" applyFont="1" applyBorder="1" applyAlignment="1">
      <alignment horizontal="center"/>
    </xf>
    <xf numFmtId="0" fontId="108" fillId="0" borderId="0" xfId="0" applyFont="1" applyAlignment="1">
      <alignment horizontal="center"/>
    </xf>
    <xf numFmtId="0" fontId="109" fillId="0" borderId="54" xfId="0" applyFont="1" applyBorder="1" applyAlignment="1">
      <alignment vertical="center"/>
    </xf>
    <xf numFmtId="0" fontId="110" fillId="0" borderId="54" xfId="0" applyFont="1" applyBorder="1" applyAlignment="1">
      <alignment horizontal="center" vertical="center" wrapText="1"/>
    </xf>
    <xf numFmtId="0" fontId="109" fillId="0" borderId="54" xfId="0" applyFont="1" applyBorder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109" fillId="64" borderId="54" xfId="0" applyFont="1" applyFill="1" applyBorder="1" applyAlignment="1">
      <alignment horizontal="center" vertical="center"/>
    </xf>
    <xf numFmtId="0" fontId="109" fillId="0" borderId="0" xfId="0" applyFont="1" applyAlignment="1">
      <alignment vertical="center"/>
    </xf>
    <xf numFmtId="0" fontId="111" fillId="65" borderId="58" xfId="0" applyFont="1" applyFill="1" applyBorder="1" applyAlignment="1">
      <alignment horizontal="center"/>
    </xf>
    <xf numFmtId="0" fontId="111" fillId="65" borderId="58" xfId="0" applyFont="1" applyFill="1" applyBorder="1"/>
    <xf numFmtId="0" fontId="0" fillId="66" borderId="101" xfId="0" applyFill="1" applyBorder="1" applyAlignment="1">
      <alignment vertical="center" wrapText="1"/>
    </xf>
    <xf numFmtId="0" fontId="0" fillId="67" borderId="101" xfId="0" applyFill="1" applyBorder="1" applyAlignment="1">
      <alignment vertical="center" wrapText="1"/>
    </xf>
    <xf numFmtId="0" fontId="0" fillId="66" borderId="101" xfId="0" applyFill="1" applyBorder="1" applyAlignment="1">
      <alignment horizontal="center" vertical="center" wrapText="1"/>
    </xf>
    <xf numFmtId="0" fontId="0" fillId="68" borderId="101" xfId="0" applyFill="1" applyBorder="1" applyAlignment="1">
      <alignment horizontal="center" vertical="center" wrapText="1"/>
    </xf>
    <xf numFmtId="0" fontId="0" fillId="69" borderId="101" xfId="0" applyFill="1" applyBorder="1" applyAlignment="1">
      <alignment horizontal="center" vertical="center" wrapText="1"/>
    </xf>
    <xf numFmtId="0" fontId="0" fillId="70" borderId="101" xfId="0" applyFill="1" applyBorder="1" applyAlignment="1">
      <alignment horizontal="center" vertical="center" wrapText="1"/>
    </xf>
    <xf numFmtId="0" fontId="0" fillId="71" borderId="101" xfId="0" applyFill="1" applyBorder="1" applyAlignment="1">
      <alignment horizontal="center" vertical="center" wrapText="1"/>
    </xf>
    <xf numFmtId="0" fontId="4" fillId="68" borderId="101" xfId="0" applyFont="1" applyFill="1" applyBorder="1" applyAlignment="1">
      <alignment horizontal="center" vertical="center" wrapText="1"/>
    </xf>
    <xf numFmtId="0" fontId="0" fillId="72" borderId="67" xfId="0" applyFill="1" applyBorder="1" applyAlignment="1">
      <alignment horizontal="center" vertical="center"/>
    </xf>
    <xf numFmtId="1" fontId="0" fillId="0" borderId="30" xfId="0" applyNumberFormat="1" applyBorder="1" applyAlignment="1">
      <alignment horizontal="center"/>
    </xf>
    <xf numFmtId="0" fontId="96" fillId="73" borderId="30" xfId="45" applyFont="1" applyFill="1" applyBorder="1" applyProtection="1"/>
    <xf numFmtId="172" fontId="0" fillId="4" borderId="30" xfId="0" applyNumberForma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72" fontId="4" fillId="0" borderId="30" xfId="0" applyNumberFormat="1" applyFont="1" applyBorder="1" applyAlignment="1">
      <alignment horizontal="center"/>
    </xf>
    <xf numFmtId="172" fontId="4" fillId="62" borderId="30" xfId="0" applyNumberFormat="1" applyFont="1" applyFill="1" applyBorder="1" applyAlignment="1">
      <alignment horizontal="center"/>
    </xf>
    <xf numFmtId="172" fontId="4" fillId="7" borderId="30" xfId="0" applyNumberFormat="1" applyFont="1" applyFill="1" applyBorder="1" applyAlignment="1">
      <alignment horizontal="center"/>
    </xf>
    <xf numFmtId="165" fontId="4" fillId="0" borderId="30" xfId="0" applyNumberFormat="1" applyFon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72" fontId="0" fillId="0" borderId="30" xfId="0" applyNumberFormat="1" applyBorder="1" applyAlignment="1">
      <alignment horizontal="center"/>
    </xf>
    <xf numFmtId="1" fontId="0" fillId="0" borderId="30" xfId="0" applyNumberFormat="1" applyBorder="1"/>
    <xf numFmtId="172" fontId="0" fillId="62" borderId="30" xfId="0" applyNumberFormat="1" applyFill="1" applyBorder="1" applyAlignment="1">
      <alignment horizontal="center"/>
    </xf>
    <xf numFmtId="172" fontId="0" fillId="74" borderId="30" xfId="0" applyNumberFormat="1" applyFill="1" applyBorder="1" applyAlignment="1">
      <alignment horizontal="center"/>
    </xf>
    <xf numFmtId="172" fontId="0" fillId="0" borderId="30" xfId="0" applyNumberFormat="1" applyBorder="1"/>
    <xf numFmtId="0" fontId="0" fillId="0" borderId="30" xfId="0" applyBorder="1" applyAlignment="1">
      <alignment horizontal="center"/>
    </xf>
    <xf numFmtId="172" fontId="0" fillId="63" borderId="30" xfId="0" applyNumberFormat="1" applyFill="1" applyBorder="1" applyAlignment="1">
      <alignment horizontal="center"/>
    </xf>
    <xf numFmtId="1" fontId="0" fillId="75" borderId="30" xfId="0" applyNumberFormat="1" applyFill="1" applyBorder="1" applyAlignment="1">
      <alignment horizontal="center"/>
    </xf>
    <xf numFmtId="0" fontId="96" fillId="76" borderId="30" xfId="45" applyFont="1" applyFill="1" applyBorder="1" applyProtection="1"/>
    <xf numFmtId="172" fontId="0" fillId="75" borderId="30" xfId="0" applyNumberFormat="1" applyFill="1" applyBorder="1" applyAlignment="1">
      <alignment horizontal="center"/>
    </xf>
    <xf numFmtId="172" fontId="4" fillId="75" borderId="30" xfId="0" applyNumberFormat="1" applyFont="1" applyFill="1" applyBorder="1" applyAlignment="1">
      <alignment horizontal="center"/>
    </xf>
    <xf numFmtId="165" fontId="4" fillId="75" borderId="30" xfId="0" applyNumberFormat="1" applyFont="1" applyFill="1" applyBorder="1" applyAlignment="1">
      <alignment horizontal="center"/>
    </xf>
    <xf numFmtId="165" fontId="0" fillId="75" borderId="30" xfId="0" applyNumberFormat="1" applyFill="1" applyBorder="1" applyAlignment="1">
      <alignment horizontal="center"/>
    </xf>
    <xf numFmtId="1" fontId="0" fillId="75" borderId="30" xfId="0" applyNumberFormat="1" applyFill="1" applyBorder="1"/>
    <xf numFmtId="172" fontId="0" fillId="75" borderId="30" xfId="0" applyNumberFormat="1" applyFill="1" applyBorder="1"/>
    <xf numFmtId="0" fontId="0" fillId="75" borderId="30" xfId="0" applyFill="1" applyBorder="1" applyAlignment="1">
      <alignment horizontal="center"/>
    </xf>
    <xf numFmtId="0" fontId="96" fillId="73" borderId="30" xfId="45" applyFont="1" applyFill="1" applyBorder="1" applyAlignment="1" applyProtection="1">
      <alignment wrapText="1"/>
    </xf>
    <xf numFmtId="1" fontId="0" fillId="0" borderId="30" xfId="0" applyNumberFormat="1" applyBorder="1" applyAlignment="1">
      <alignment horizontal="right"/>
    </xf>
    <xf numFmtId="1" fontId="23" fillId="0" borderId="30" xfId="0" applyNumberFormat="1" applyFont="1" applyBorder="1" applyAlignment="1">
      <alignment horizontal="center"/>
    </xf>
    <xf numFmtId="1" fontId="23" fillId="75" borderId="30" xfId="0" applyNumberFormat="1" applyFont="1" applyFill="1" applyBorder="1" applyAlignment="1">
      <alignment horizontal="center"/>
    </xf>
    <xf numFmtId="0" fontId="112" fillId="75" borderId="30" xfId="45" applyFont="1" applyFill="1" applyBorder="1" applyAlignment="1" applyProtection="1">
      <alignment wrapText="1"/>
    </xf>
    <xf numFmtId="0" fontId="112" fillId="75" borderId="30" xfId="45" applyFont="1" applyFill="1" applyBorder="1" applyProtection="1"/>
    <xf numFmtId="172" fontId="23" fillId="75" borderId="30" xfId="0" applyNumberFormat="1" applyFont="1" applyFill="1" applyBorder="1" applyAlignment="1">
      <alignment horizontal="center"/>
    </xf>
    <xf numFmtId="172" fontId="23" fillId="75" borderId="30" xfId="0" applyNumberFormat="1" applyFont="1" applyFill="1" applyBorder="1"/>
    <xf numFmtId="0" fontId="23" fillId="75" borderId="30" xfId="0" applyFont="1" applyFill="1" applyBorder="1" applyAlignment="1">
      <alignment horizontal="center" wrapText="1"/>
    </xf>
    <xf numFmtId="0" fontId="4" fillId="4" borderId="30" xfId="0" applyFont="1" applyFill="1" applyBorder="1"/>
    <xf numFmtId="172" fontId="0" fillId="77" borderId="30" xfId="0" applyNumberFormat="1" applyFill="1" applyBorder="1" applyAlignment="1">
      <alignment horizontal="center"/>
    </xf>
    <xf numFmtId="0" fontId="4" fillId="75" borderId="30" xfId="0" applyFont="1" applyFill="1" applyBorder="1"/>
    <xf numFmtId="0" fontId="96" fillId="75" borderId="30" xfId="45" applyFont="1" applyFill="1" applyBorder="1" applyProtection="1"/>
    <xf numFmtId="172" fontId="0" fillId="78" borderId="30" xfId="0" applyNumberFormat="1" applyFill="1" applyBorder="1" applyAlignment="1">
      <alignment horizontal="center"/>
    </xf>
    <xf numFmtId="1" fontId="0" fillId="4" borderId="30" xfId="0" applyNumberFormat="1" applyFill="1" applyBorder="1" applyAlignment="1">
      <alignment horizontal="center"/>
    </xf>
    <xf numFmtId="0" fontId="96" fillId="4" borderId="30" xfId="46" applyFont="1" applyFill="1" applyBorder="1" applyAlignment="1" applyProtection="1">
      <alignment wrapText="1"/>
    </xf>
    <xf numFmtId="0" fontId="96" fillId="4" borderId="30" xfId="46" applyFont="1" applyFill="1" applyBorder="1" applyProtection="1"/>
    <xf numFmtId="0" fontId="96" fillId="4" borderId="30" xfId="45" applyFont="1" applyFill="1" applyBorder="1" applyProtection="1"/>
    <xf numFmtId="172" fontId="0" fillId="10" borderId="30" xfId="0" applyNumberFormat="1" applyFill="1" applyBorder="1" applyAlignment="1">
      <alignment horizontal="center"/>
    </xf>
    <xf numFmtId="0" fontId="112" fillId="73" borderId="30" xfId="45" applyFont="1" applyFill="1" applyBorder="1" applyAlignment="1" applyProtection="1">
      <alignment wrapText="1"/>
    </xf>
    <xf numFmtId="0" fontId="112" fillId="73" borderId="30" xfId="45" applyFont="1" applyFill="1" applyBorder="1" applyProtection="1"/>
    <xf numFmtId="0" fontId="112" fillId="4" borderId="30" xfId="45" applyFont="1" applyFill="1" applyBorder="1" applyProtection="1"/>
    <xf numFmtId="0" fontId="112" fillId="4" borderId="30" xfId="45" applyFont="1" applyFill="1" applyBorder="1" applyAlignment="1" applyProtection="1">
      <alignment wrapText="1"/>
    </xf>
    <xf numFmtId="1" fontId="0" fillId="52" borderId="30" xfId="0" applyNumberFormat="1" applyFill="1" applyBorder="1" applyAlignment="1">
      <alignment horizontal="center"/>
    </xf>
    <xf numFmtId="0" fontId="96" fillId="52" borderId="30" xfId="46" applyFont="1" applyFill="1" applyBorder="1" applyAlignment="1" applyProtection="1">
      <alignment wrapText="1"/>
    </xf>
    <xf numFmtId="0" fontId="4" fillId="52" borderId="30" xfId="0" applyFont="1" applyFill="1" applyBorder="1"/>
    <xf numFmtId="0" fontId="96" fillId="52" borderId="30" xfId="45" applyFont="1" applyFill="1" applyBorder="1" applyProtection="1"/>
    <xf numFmtId="172" fontId="0" fillId="52" borderId="30" xfId="0" applyNumberFormat="1" applyFill="1" applyBorder="1" applyAlignment="1">
      <alignment horizontal="center"/>
    </xf>
    <xf numFmtId="0" fontId="0" fillId="52" borderId="30" xfId="0" applyFill="1" applyBorder="1" applyAlignment="1">
      <alignment horizontal="center"/>
    </xf>
    <xf numFmtId="172" fontId="4" fillId="52" borderId="30" xfId="0" applyNumberFormat="1" applyFont="1" applyFill="1" applyBorder="1" applyAlignment="1">
      <alignment horizontal="center"/>
    </xf>
    <xf numFmtId="165" fontId="4" fillId="52" borderId="30" xfId="0" applyNumberFormat="1" applyFont="1" applyFill="1" applyBorder="1" applyAlignment="1">
      <alignment horizontal="center"/>
    </xf>
    <xf numFmtId="165" fontId="0" fillId="52" borderId="30" xfId="0" applyNumberFormat="1" applyFill="1" applyBorder="1" applyAlignment="1">
      <alignment horizontal="center"/>
    </xf>
    <xf numFmtId="1" fontId="0" fillId="52" borderId="30" xfId="0" applyNumberFormat="1" applyFill="1" applyBorder="1" applyAlignment="1">
      <alignment horizontal="right"/>
    </xf>
    <xf numFmtId="172" fontId="0" fillId="52" borderId="30" xfId="0" applyNumberFormat="1" applyFill="1" applyBorder="1"/>
    <xf numFmtId="0" fontId="112" fillId="75" borderId="30" xfId="46" applyFont="1" applyFill="1" applyBorder="1" applyAlignment="1" applyProtection="1">
      <alignment wrapText="1"/>
    </xf>
    <xf numFmtId="0" fontId="112" fillId="75" borderId="30" xfId="46" applyFont="1" applyFill="1" applyBorder="1" applyProtection="1"/>
    <xf numFmtId="1" fontId="23" fillId="75" borderId="30" xfId="0" applyNumberFormat="1" applyFont="1" applyFill="1" applyBorder="1" applyAlignment="1">
      <alignment horizontal="right"/>
    </xf>
    <xf numFmtId="0" fontId="23" fillId="75" borderId="30" xfId="0" applyFont="1" applyFill="1" applyBorder="1" applyAlignment="1">
      <alignment horizontal="center"/>
    </xf>
    <xf numFmtId="0" fontId="114" fillId="0" borderId="0" xfId="0" applyFont="1"/>
    <xf numFmtId="0" fontId="96" fillId="79" borderId="30" xfId="46" applyFont="1" applyFill="1" applyBorder="1" applyProtection="1"/>
    <xf numFmtId="0" fontId="0" fillId="0" borderId="113" xfId="0" applyBorder="1"/>
    <xf numFmtId="1" fontId="0" fillId="63" borderId="30" xfId="0" applyNumberFormat="1" applyFill="1" applyBorder="1" applyAlignment="1">
      <alignment horizontal="center"/>
    </xf>
    <xf numFmtId="0" fontId="96" fillId="52" borderId="30" xfId="46" applyFont="1" applyFill="1" applyBorder="1" applyProtection="1"/>
    <xf numFmtId="172" fontId="53" fillId="78" borderId="30" xfId="0" applyNumberFormat="1" applyFont="1" applyFill="1" applyBorder="1" applyAlignment="1">
      <alignment horizontal="center"/>
    </xf>
    <xf numFmtId="172" fontId="0" fillId="6" borderId="30" xfId="0" applyNumberFormat="1" applyFill="1" applyBorder="1" applyAlignment="1">
      <alignment horizontal="center"/>
    </xf>
    <xf numFmtId="172" fontId="0" fillId="61" borderId="30" xfId="0" applyNumberFormat="1" applyFill="1" applyBorder="1"/>
    <xf numFmtId="0" fontId="4" fillId="4" borderId="30" xfId="0" applyFont="1" applyFill="1" applyBorder="1" applyAlignment="1">
      <alignment wrapText="1"/>
    </xf>
    <xf numFmtId="0" fontId="96" fillId="52" borderId="30" xfId="45" applyFont="1" applyFill="1" applyBorder="1" applyAlignment="1" applyProtection="1">
      <alignment wrapText="1"/>
    </xf>
    <xf numFmtId="0" fontId="96" fillId="75" borderId="30" xfId="45" applyFont="1" applyFill="1" applyBorder="1" applyAlignment="1" applyProtection="1">
      <alignment wrapText="1"/>
    </xf>
    <xf numFmtId="0" fontId="96" fillId="4" borderId="30" xfId="45" applyFont="1" applyFill="1" applyBorder="1" applyAlignment="1" applyProtection="1">
      <alignment wrapText="1"/>
    </xf>
    <xf numFmtId="0" fontId="96" fillId="3" borderId="30" xfId="45" applyFont="1" applyFill="1" applyBorder="1" applyAlignment="1" applyProtection="1">
      <alignment wrapText="1"/>
    </xf>
    <xf numFmtId="0" fontId="96" fillId="80" borderId="30" xfId="45" applyFont="1" applyFill="1" applyBorder="1" applyProtection="1"/>
    <xf numFmtId="172" fontId="0" fillId="81" borderId="30" xfId="0" applyNumberFormat="1" applyFill="1" applyBorder="1" applyAlignment="1">
      <alignment horizontal="center"/>
    </xf>
    <xf numFmtId="1" fontId="0" fillId="81" borderId="30" xfId="0" applyNumberFormat="1" applyFill="1" applyBorder="1" applyAlignment="1">
      <alignment horizontal="center"/>
    </xf>
    <xf numFmtId="0" fontId="0" fillId="0" borderId="30" xfId="0" applyBorder="1"/>
    <xf numFmtId="172" fontId="0" fillId="61" borderId="3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1" fontId="0" fillId="0" borderId="21" xfId="0" applyNumberFormat="1" applyBorder="1" applyAlignment="1">
      <alignment horizontal="center"/>
    </xf>
    <xf numFmtId="172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56" xfId="0" applyBorder="1"/>
    <xf numFmtId="0" fontId="0" fillId="0" borderId="62" xfId="0" applyBorder="1"/>
    <xf numFmtId="9" fontId="0" fillId="0" borderId="0" xfId="71" applyFont="1" applyBorder="1" applyAlignment="1">
      <alignment horizontal="center"/>
    </xf>
    <xf numFmtId="0" fontId="0" fillId="0" borderId="63" xfId="0" applyBorder="1"/>
    <xf numFmtId="0" fontId="114" fillId="0" borderId="56" xfId="0" applyFont="1" applyBorder="1" applyAlignment="1">
      <alignment horizontal="center"/>
    </xf>
    <xf numFmtId="0" fontId="115" fillId="73" borderId="117" xfId="45" applyFont="1" applyFill="1" applyBorder="1" applyAlignment="1" applyProtection="1">
      <alignment horizontal="center"/>
    </xf>
    <xf numFmtId="0" fontId="115" fillId="82" borderId="118" xfId="46" applyFont="1" applyFill="1" applyBorder="1" applyAlignment="1" applyProtection="1">
      <alignment horizontal="center"/>
    </xf>
    <xf numFmtId="0" fontId="115" fillId="44" borderId="118" xfId="47" applyFont="1" applyBorder="1" applyAlignment="1" applyProtection="1">
      <alignment horizontal="center"/>
    </xf>
    <xf numFmtId="0" fontId="115" fillId="83" borderId="118" xfId="47" applyFont="1" applyFill="1" applyBorder="1" applyAlignment="1" applyProtection="1">
      <alignment horizontal="center"/>
    </xf>
    <xf numFmtId="0" fontId="115" fillId="84" borderId="118" xfId="47" applyFont="1" applyFill="1" applyBorder="1" applyAlignment="1" applyProtection="1">
      <alignment horizontal="center"/>
    </xf>
    <xf numFmtId="0" fontId="115" fillId="85" borderId="118" xfId="47" applyFont="1" applyFill="1" applyBorder="1" applyAlignment="1" applyProtection="1">
      <alignment horizontal="center"/>
    </xf>
    <xf numFmtId="0" fontId="78" fillId="10" borderId="118" xfId="0" applyFont="1" applyFill="1" applyBorder="1" applyAlignment="1">
      <alignment horizontal="center"/>
    </xf>
    <xf numFmtId="0" fontId="0" fillId="77" borderId="118" xfId="0" applyFill="1" applyBorder="1" applyAlignment="1">
      <alignment horizontal="center"/>
    </xf>
    <xf numFmtId="0" fontId="0" fillId="52" borderId="119" xfId="0" applyFill="1" applyBorder="1" applyAlignment="1">
      <alignment horizontal="center"/>
    </xf>
    <xf numFmtId="0" fontId="116" fillId="0" borderId="15" xfId="0" applyFont="1" applyBorder="1"/>
    <xf numFmtId="0" fontId="116" fillId="0" borderId="22" xfId="0" applyFont="1" applyBorder="1"/>
    <xf numFmtId="3" fontId="116" fillId="0" borderId="22" xfId="0" applyNumberFormat="1" applyFont="1" applyBorder="1"/>
    <xf numFmtId="3" fontId="116" fillId="0" borderId="16" xfId="0" applyNumberFormat="1" applyFont="1" applyBorder="1"/>
    <xf numFmtId="0" fontId="116" fillId="0" borderId="110" xfId="0" applyFont="1" applyBorder="1"/>
    <xf numFmtId="0" fontId="116" fillId="0" borderId="111" xfId="0" applyFont="1" applyBorder="1"/>
    <xf numFmtId="3" fontId="116" fillId="0" borderId="111" xfId="0" applyNumberFormat="1" applyFont="1" applyBorder="1"/>
    <xf numFmtId="3" fontId="116" fillId="0" borderId="70" xfId="0" applyNumberFormat="1" applyFont="1" applyBorder="1"/>
    <xf numFmtId="0" fontId="116" fillId="0" borderId="23" xfId="0" applyFont="1" applyBorder="1"/>
    <xf numFmtId="0" fontId="116" fillId="0" borderId="120" xfId="0" applyFont="1" applyBorder="1"/>
    <xf numFmtId="0" fontId="116" fillId="45" borderId="8" xfId="0" applyFont="1" applyFill="1" applyBorder="1"/>
    <xf numFmtId="0" fontId="116" fillId="0" borderId="68" xfId="0" applyFont="1" applyBorder="1"/>
    <xf numFmtId="0" fontId="116" fillId="0" borderId="24" xfId="0" applyFont="1" applyBorder="1"/>
    <xf numFmtId="0" fontId="116" fillId="0" borderId="21" xfId="0" applyFont="1" applyBorder="1"/>
    <xf numFmtId="3" fontId="116" fillId="0" borderId="21" xfId="0" applyNumberFormat="1" applyFont="1" applyBorder="1"/>
    <xf numFmtId="3" fontId="116" fillId="0" borderId="32" xfId="0" applyNumberFormat="1" applyFont="1" applyBorder="1"/>
    <xf numFmtId="0" fontId="116" fillId="0" borderId="39" xfId="0" applyFont="1" applyBorder="1"/>
    <xf numFmtId="0" fontId="116" fillId="0" borderId="53" xfId="0" applyFont="1" applyBorder="1"/>
    <xf numFmtId="0" fontId="116" fillId="0" borderId="40" xfId="0" applyFont="1" applyBorder="1"/>
    <xf numFmtId="3" fontId="116" fillId="0" borderId="24" xfId="0" applyNumberFormat="1" applyFont="1" applyBorder="1"/>
    <xf numFmtId="3" fontId="116" fillId="0" borderId="23" xfId="0" applyNumberFormat="1" applyFont="1" applyBorder="1"/>
    <xf numFmtId="3" fontId="116" fillId="0" borderId="120" xfId="0" applyNumberFormat="1" applyFont="1" applyBorder="1"/>
    <xf numFmtId="4" fontId="76" fillId="0" borderId="3" xfId="0" applyNumberFormat="1" applyFont="1" applyBorder="1" applyAlignment="1">
      <alignment horizontal="left" vertical="top" wrapText="1"/>
    </xf>
    <xf numFmtId="0" fontId="17" fillId="0" borderId="5" xfId="0" applyFont="1" applyBorder="1"/>
    <xf numFmtId="4" fontId="76" fillId="0" borderId="15" xfId="0" applyNumberFormat="1" applyFont="1" applyBorder="1" applyAlignment="1">
      <alignment horizontal="left" vertical="top" wrapText="1"/>
    </xf>
    <xf numFmtId="4" fontId="39" fillId="53" borderId="51" xfId="0" applyNumberFormat="1" applyFont="1" applyFill="1" applyBorder="1"/>
    <xf numFmtId="0" fontId="13" fillId="0" borderId="3" xfId="0" applyFont="1" applyBorder="1"/>
    <xf numFmtId="0" fontId="17" fillId="0" borderId="6" xfId="0" applyFont="1" applyBorder="1"/>
    <xf numFmtId="3" fontId="13" fillId="0" borderId="66" xfId="0" applyNumberFormat="1" applyFont="1" applyBorder="1"/>
    <xf numFmtId="3" fontId="13" fillId="0" borderId="24" xfId="0" applyNumberFormat="1" applyFont="1" applyBorder="1"/>
    <xf numFmtId="4" fontId="13" fillId="0" borderId="99" xfId="0" applyNumberFormat="1" applyFont="1" applyBorder="1"/>
    <xf numFmtId="10" fontId="13" fillId="0" borderId="5" xfId="0" applyNumberFormat="1" applyFont="1" applyBorder="1"/>
    <xf numFmtId="3" fontId="13" fillId="0" borderId="3" xfId="0" applyNumberFormat="1" applyFont="1" applyBorder="1"/>
    <xf numFmtId="3" fontId="13" fillId="0" borderId="6" xfId="0" applyNumberFormat="1" applyFont="1" applyBorder="1"/>
    <xf numFmtId="4" fontId="13" fillId="0" borderId="71" xfId="0" applyNumberFormat="1" applyFont="1" applyBorder="1"/>
    <xf numFmtId="10" fontId="13" fillId="0" borderId="52" xfId="0" applyNumberFormat="1" applyFont="1" applyBorder="1"/>
    <xf numFmtId="3" fontId="13" fillId="0" borderId="60" xfId="0" applyNumberFormat="1" applyFont="1" applyBorder="1"/>
    <xf numFmtId="3" fontId="13" fillId="0" borderId="51" xfId="0" applyNumberFormat="1" applyFont="1" applyBorder="1"/>
    <xf numFmtId="0" fontId="13" fillId="0" borderId="60" xfId="0" applyFont="1" applyBorder="1"/>
    <xf numFmtId="0" fontId="17" fillId="0" borderId="51" xfId="0" applyFont="1" applyBorder="1" applyAlignment="1">
      <alignment wrapText="1"/>
    </xf>
    <xf numFmtId="3" fontId="13" fillId="0" borderId="52" xfId="0" applyNumberFormat="1" applyFont="1" applyBorder="1"/>
    <xf numFmtId="3" fontId="13" fillId="0" borderId="69" xfId="0" applyNumberFormat="1" applyFont="1" applyBorder="1"/>
    <xf numFmtId="4" fontId="13" fillId="0" borderId="60" xfId="0" applyNumberFormat="1" applyFont="1" applyBorder="1"/>
    <xf numFmtId="0" fontId="17" fillId="0" borderId="61" xfId="0" applyFont="1" applyBorder="1"/>
    <xf numFmtId="0" fontId="17" fillId="0" borderId="101" xfId="0" applyFont="1" applyBorder="1" applyAlignment="1">
      <alignment wrapText="1"/>
    </xf>
    <xf numFmtId="3" fontId="13" fillId="0" borderId="54" xfId="0" applyNumberFormat="1" applyFont="1" applyBorder="1"/>
    <xf numFmtId="3" fontId="13" fillId="0" borderId="67" xfId="0" applyNumberFormat="1" applyFont="1" applyBorder="1"/>
    <xf numFmtId="4" fontId="13" fillId="0" borderId="61" xfId="0" applyNumberFormat="1" applyFont="1" applyBorder="1"/>
    <xf numFmtId="4" fontId="13" fillId="0" borderId="94" xfId="0" applyNumberFormat="1" applyFont="1" applyBorder="1"/>
    <xf numFmtId="10" fontId="13" fillId="0" borderId="54" xfId="0" applyNumberFormat="1" applyFont="1" applyBorder="1"/>
    <xf numFmtId="0" fontId="13" fillId="0" borderId="15" xfId="0" applyFont="1" applyBorder="1"/>
    <xf numFmtId="0" fontId="17" fillId="0" borderId="22" xfId="0" applyFont="1" applyBorder="1" applyAlignment="1">
      <alignment wrapText="1"/>
    </xf>
    <xf numFmtId="3" fontId="13" fillId="0" borderId="23" xfId="0" applyNumberFormat="1" applyFont="1" applyBorder="1"/>
    <xf numFmtId="4" fontId="13" fillId="0" borderId="100" xfId="0" applyNumberFormat="1" applyFont="1" applyBorder="1"/>
    <xf numFmtId="10" fontId="13" fillId="0" borderId="64" xfId="0" applyNumberFormat="1" applyFont="1" applyBorder="1"/>
    <xf numFmtId="3" fontId="13" fillId="0" borderId="15" xfId="0" applyNumberFormat="1" applyFont="1" applyBorder="1"/>
    <xf numFmtId="3" fontId="13" fillId="0" borderId="22" xfId="0" applyNumberFormat="1" applyFont="1" applyBorder="1"/>
    <xf numFmtId="3" fontId="17" fillId="0" borderId="6" xfId="0" applyNumberFormat="1" applyFont="1" applyBorder="1"/>
    <xf numFmtId="3" fontId="17" fillId="0" borderId="51" xfId="0" applyNumberFormat="1" applyFont="1" applyBorder="1"/>
    <xf numFmtId="0" fontId="39" fillId="0" borderId="0" xfId="0" applyFont="1"/>
    <xf numFmtId="4" fontId="36" fillId="53" borderId="0" xfId="0" applyNumberFormat="1" applyFont="1" applyFill="1"/>
    <xf numFmtId="3" fontId="36" fillId="0" borderId="0" xfId="0" applyNumberFormat="1" applyFont="1"/>
    <xf numFmtId="4" fontId="76" fillId="0" borderId="60" xfId="0" applyNumberFormat="1" applyFont="1" applyBorder="1" applyAlignment="1">
      <alignment horizontal="left" vertical="top" wrapText="1"/>
    </xf>
    <xf numFmtId="0" fontId="17" fillId="0" borderId="52" xfId="0" applyFont="1" applyBorder="1"/>
    <xf numFmtId="4" fontId="13" fillId="0" borderId="51" xfId="0" applyNumberFormat="1" applyFont="1" applyBorder="1"/>
    <xf numFmtId="0" fontId="13" fillId="0" borderId="51" xfId="0" applyFont="1" applyBorder="1"/>
    <xf numFmtId="4" fontId="13" fillId="0" borderId="103" xfId="0" applyNumberFormat="1" applyFont="1" applyBorder="1"/>
    <xf numFmtId="4" fontId="13" fillId="0" borderId="69" xfId="0" applyNumberFormat="1" applyFont="1" applyBorder="1"/>
    <xf numFmtId="2" fontId="13" fillId="0" borderId="52" xfId="0" applyNumberFormat="1" applyFont="1" applyBorder="1"/>
    <xf numFmtId="0" fontId="77" fillId="0" borderId="52" xfId="0" applyFont="1" applyBorder="1"/>
    <xf numFmtId="0" fontId="13" fillId="0" borderId="103" xfId="0" applyFont="1" applyBorder="1"/>
    <xf numFmtId="0" fontId="13" fillId="0" borderId="52" xfId="0" applyFont="1" applyBorder="1"/>
    <xf numFmtId="0" fontId="77" fillId="0" borderId="64" xfId="0" applyFont="1" applyBorder="1"/>
    <xf numFmtId="0" fontId="13" fillId="0" borderId="64" xfId="0" applyFont="1" applyBorder="1"/>
    <xf numFmtId="0" fontId="17" fillId="0" borderId="51" xfId="0" applyFont="1" applyBorder="1"/>
    <xf numFmtId="0" fontId="17" fillId="0" borderId="60" xfId="0" applyFont="1" applyBorder="1"/>
    <xf numFmtId="0" fontId="17" fillId="0" borderId="51" xfId="0" applyFont="1" applyBorder="1" applyAlignment="1">
      <alignment vertical="top" wrapText="1"/>
    </xf>
    <xf numFmtId="3" fontId="13" fillId="0" borderId="64" xfId="0" applyNumberFormat="1" applyFont="1" applyBorder="1"/>
    <xf numFmtId="0" fontId="2" fillId="0" borderId="5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right" vertical="center" wrapText="1"/>
    </xf>
    <xf numFmtId="0" fontId="12" fillId="0" borderId="51" xfId="1" applyFont="1" applyBorder="1"/>
    <xf numFmtId="0" fontId="6" fillId="0" borderId="51" xfId="0" applyFont="1" applyBorder="1" applyAlignment="1">
      <alignment horizontal="right"/>
    </xf>
    <xf numFmtId="0" fontId="11" fillId="0" borderId="101" xfId="0" applyFont="1" applyBorder="1" applyAlignment="1">
      <alignment horizontal="left" vertical="top" wrapText="1"/>
    </xf>
    <xf numFmtId="0" fontId="20" fillId="0" borderId="101" xfId="1" applyFont="1" applyBorder="1" applyAlignment="1">
      <alignment horizontal="left" vertical="top" wrapText="1"/>
    </xf>
    <xf numFmtId="0" fontId="11" fillId="0" borderId="101" xfId="0" applyFont="1" applyBorder="1" applyAlignment="1">
      <alignment horizontal="right" vertical="top" wrapText="1"/>
    </xf>
    <xf numFmtId="0" fontId="16" fillId="0" borderId="54" xfId="0" applyFont="1" applyBorder="1" applyAlignment="1">
      <alignment horizontal="left" vertical="top" wrapText="1"/>
    </xf>
    <xf numFmtId="0" fontId="16" fillId="0" borderId="101" xfId="0" applyFont="1" applyBorder="1" applyAlignment="1">
      <alignment horizontal="left" vertical="top" wrapText="1"/>
    </xf>
    <xf numFmtId="0" fontId="16" fillId="0" borderId="101" xfId="0" applyFont="1" applyBorder="1"/>
    <xf numFmtId="0" fontId="6" fillId="0" borderId="17" xfId="0" applyFont="1" applyBorder="1"/>
    <xf numFmtId="0" fontId="16" fillId="0" borderId="101" xfId="0" applyFont="1" applyBorder="1" applyAlignment="1">
      <alignment wrapText="1"/>
    </xf>
    <xf numFmtId="0" fontId="32" fillId="0" borderId="68" xfId="0" applyFont="1" applyBorder="1"/>
    <xf numFmtId="0" fontId="23" fillId="0" borderId="71" xfId="0" applyFont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top" wrapText="1"/>
    </xf>
    <xf numFmtId="0" fontId="53" fillId="0" borderId="7" xfId="0" applyFont="1" applyBorder="1" applyAlignment="1">
      <alignment wrapText="1"/>
    </xf>
    <xf numFmtId="0" fontId="3" fillId="0" borderId="7" xfId="72" applyBorder="1" applyAlignment="1">
      <alignment horizontal="left" vertical="center" wrapText="1"/>
    </xf>
    <xf numFmtId="0" fontId="24" fillId="0" borderId="30" xfId="0" applyFont="1" applyBorder="1" applyAlignment="1">
      <alignment wrapText="1"/>
    </xf>
    <xf numFmtId="0" fontId="24" fillId="0" borderId="106" xfId="0" applyFont="1" applyBorder="1" applyAlignment="1">
      <alignment wrapText="1"/>
    </xf>
    <xf numFmtId="0" fontId="81" fillId="0" borderId="7" xfId="0" applyFont="1" applyBorder="1" applyAlignment="1">
      <alignment wrapText="1"/>
    </xf>
    <xf numFmtId="0" fontId="81" fillId="0" borderId="7" xfId="0" applyFont="1" applyBorder="1"/>
    <xf numFmtId="0" fontId="74" fillId="46" borderId="17" xfId="0" applyFont="1" applyFill="1" applyBorder="1"/>
    <xf numFmtId="4" fontId="62" fillId="0" borderId="17" xfId="0" applyNumberFormat="1" applyFont="1" applyBorder="1"/>
    <xf numFmtId="4" fontId="78" fillId="0" borderId="11" xfId="0" applyNumberFormat="1" applyFont="1" applyBorder="1"/>
    <xf numFmtId="4" fontId="78" fillId="0" borderId="7" xfId="0" applyNumberFormat="1" applyFont="1" applyBorder="1"/>
    <xf numFmtId="4" fontId="78" fillId="0" borderId="12" xfId="0" applyNumberFormat="1" applyFont="1" applyBorder="1"/>
    <xf numFmtId="0" fontId="78" fillId="0" borderId="68" xfId="0" applyFont="1" applyBorder="1" applyAlignment="1">
      <alignment wrapText="1"/>
    </xf>
    <xf numFmtId="165" fontId="78" fillId="0" borderId="121" xfId="0" applyNumberFormat="1" applyFont="1" applyBorder="1"/>
    <xf numFmtId="49" fontId="78" fillId="6" borderId="121" xfId="0" applyNumberFormat="1" applyFont="1" applyFill="1" applyBorder="1"/>
    <xf numFmtId="49" fontId="78" fillId="0" borderId="121" xfId="0" applyNumberFormat="1" applyFont="1" applyBorder="1"/>
    <xf numFmtId="0" fontId="79" fillId="0" borderId="11" xfId="0" applyFont="1" applyBorder="1" applyAlignment="1">
      <alignment wrapText="1"/>
    </xf>
    <xf numFmtId="0" fontId="79" fillId="0" borderId="121" xfId="0" applyFont="1" applyBorder="1"/>
    <xf numFmtId="49" fontId="79" fillId="6" borderId="121" xfId="0" applyNumberFormat="1" applyFont="1" applyFill="1" applyBorder="1"/>
    <xf numFmtId="0" fontId="78" fillId="0" borderId="121" xfId="0" applyFont="1" applyBorder="1"/>
    <xf numFmtId="4" fontId="62" fillId="0" borderId="11" xfId="0" applyNumberFormat="1" applyFont="1" applyBorder="1"/>
    <xf numFmtId="4" fontId="62" fillId="0" borderId="12" xfId="0" applyNumberFormat="1" applyFont="1" applyBorder="1"/>
    <xf numFmtId="0" fontId="78" fillId="0" borderId="7" xfId="0" applyFont="1" applyBorder="1"/>
    <xf numFmtId="49" fontId="78" fillId="0" borderId="7" xfId="0" applyNumberFormat="1" applyFont="1" applyBorder="1"/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4" fontId="0" fillId="0" borderId="121" xfId="0" applyNumberFormat="1" applyBorder="1"/>
    <xf numFmtId="4" fontId="0" fillId="0" borderId="18" xfId="0" applyNumberFormat="1" applyBorder="1"/>
    <xf numFmtId="9" fontId="0" fillId="0" borderId="7" xfId="71" applyFont="1" applyBorder="1"/>
    <xf numFmtId="4" fontId="0" fillId="0" borderId="17" xfId="0" applyNumberFormat="1" applyBorder="1"/>
    <xf numFmtId="10" fontId="4" fillId="0" borderId="11" xfId="0" applyNumberFormat="1" applyFont="1" applyBorder="1"/>
    <xf numFmtId="166" fontId="4" fillId="0" borderId="7" xfId="0" applyNumberFormat="1" applyFont="1" applyBorder="1"/>
    <xf numFmtId="167" fontId="0" fillId="57" borderId="7" xfId="0" applyNumberFormat="1" applyFill="1" applyBorder="1"/>
    <xf numFmtId="4" fontId="0" fillId="57" borderId="12" xfId="0" applyNumberFormat="1" applyFill="1" applyBorder="1"/>
    <xf numFmtId="0" fontId="0" fillId="0" borderId="7" xfId="0" applyBorder="1"/>
    <xf numFmtId="3" fontId="0" fillId="0" borderId="7" xfId="0" applyNumberFormat="1" applyBorder="1"/>
    <xf numFmtId="3" fontId="72" fillId="0" borderId="7" xfId="0" applyNumberFormat="1" applyFont="1" applyBorder="1"/>
    <xf numFmtId="0" fontId="36" fillId="0" borderId="7" xfId="0" applyFont="1" applyBorder="1"/>
    <xf numFmtId="3" fontId="106" fillId="0" borderId="7" xfId="0" applyNumberFormat="1" applyFont="1" applyBorder="1"/>
    <xf numFmtId="49" fontId="0" fillId="0" borderId="7" xfId="0" applyNumberFormat="1" applyBorder="1" applyAlignment="1">
      <alignment horizontal="right"/>
    </xf>
    <xf numFmtId="0" fontId="116" fillId="0" borderId="11" xfId="0" applyFont="1" applyBorder="1"/>
    <xf numFmtId="0" fontId="116" fillId="0" borderId="18" xfId="0" applyFont="1" applyBorder="1"/>
    <xf numFmtId="3" fontId="116" fillId="0" borderId="18" xfId="0" applyNumberFormat="1" applyFont="1" applyBorder="1"/>
    <xf numFmtId="0" fontId="116" fillId="0" borderId="7" xfId="0" applyFont="1" applyBorder="1"/>
    <xf numFmtId="3" fontId="116" fillId="0" borderId="7" xfId="0" applyNumberFormat="1" applyFont="1" applyBorder="1"/>
    <xf numFmtId="3" fontId="116" fillId="0" borderId="12" xfId="0" applyNumberFormat="1" applyFont="1" applyBorder="1"/>
    <xf numFmtId="0" fontId="7" fillId="0" borderId="7" xfId="0" applyFont="1" applyBorder="1" applyAlignment="1">
      <alignment wrapText="1"/>
    </xf>
    <xf numFmtId="0" fontId="6" fillId="7" borderId="7" xfId="0" applyFont="1" applyFill="1" applyBorder="1"/>
    <xf numFmtId="3" fontId="6" fillId="7" borderId="7" xfId="0" applyNumberFormat="1" applyFont="1" applyFill="1" applyBorder="1"/>
    <xf numFmtId="0" fontId="7" fillId="0" borderId="7" xfId="0" applyFont="1" applyBorder="1"/>
    <xf numFmtId="3" fontId="7" fillId="0" borderId="7" xfId="0" applyNumberFormat="1" applyFont="1" applyBorder="1"/>
    <xf numFmtId="0" fontId="68" fillId="8" borderId="122" xfId="0" applyFont="1" applyFill="1" applyBorder="1" applyAlignment="1">
      <alignment horizontal="center" vertical="center"/>
    </xf>
    <xf numFmtId="0" fontId="68" fillId="8" borderId="121" xfId="0" applyFont="1" applyFill="1" applyBorder="1" applyAlignment="1">
      <alignment horizontal="center" vertical="center"/>
    </xf>
    <xf numFmtId="0" fontId="68" fillId="49" borderId="122" xfId="0" applyFont="1" applyFill="1" applyBorder="1" applyAlignment="1">
      <alignment horizontal="center" vertical="center"/>
    </xf>
    <xf numFmtId="0" fontId="68" fillId="49" borderId="121" xfId="0" applyFont="1" applyFill="1" applyBorder="1" applyAlignment="1">
      <alignment horizontal="center" vertical="center"/>
    </xf>
    <xf numFmtId="3" fontId="70" fillId="0" borderId="7" xfId="0" applyNumberFormat="1" applyFont="1" applyBorder="1"/>
    <xf numFmtId="49" fontId="1" fillId="0" borderId="7" xfId="0" applyNumberFormat="1" applyFont="1" applyBorder="1" applyAlignment="1">
      <alignment wrapText="1"/>
    </xf>
    <xf numFmtId="49" fontId="1" fillId="56" borderId="7" xfId="0" applyNumberFormat="1" applyFont="1" applyFill="1" applyBorder="1" applyAlignment="1">
      <alignment wrapText="1"/>
    </xf>
    <xf numFmtId="49" fontId="94" fillId="55" borderId="7" xfId="0" applyNumberFormat="1" applyFont="1" applyFill="1" applyBorder="1" applyAlignment="1">
      <alignment wrapText="1"/>
    </xf>
    <xf numFmtId="49" fontId="94" fillId="55" borderId="17" xfId="0" applyNumberFormat="1" applyFont="1" applyFill="1" applyBorder="1" applyAlignment="1">
      <alignment wrapText="1"/>
    </xf>
    <xf numFmtId="4" fontId="36" fillId="55" borderId="7" xfId="0" applyNumberFormat="1" applyFont="1" applyFill="1" applyBorder="1" applyAlignment="1">
      <alignment wrapText="1"/>
    </xf>
    <xf numFmtId="0" fontId="96" fillId="0" borderId="11" xfId="50" applyFont="1" applyBorder="1" applyAlignment="1" applyProtection="1">
      <alignment horizontal="center" vertical="center"/>
      <protection locked="0"/>
    </xf>
    <xf numFmtId="0" fontId="96" fillId="0" borderId="7" xfId="50" applyFont="1" applyBorder="1" applyAlignment="1" applyProtection="1">
      <alignment horizontal="left" vertical="center"/>
      <protection locked="0"/>
    </xf>
    <xf numFmtId="170" fontId="96" fillId="58" borderId="7" xfId="50" applyNumberFormat="1" applyFont="1" applyFill="1" applyBorder="1" applyAlignment="1" applyProtection="1">
      <alignment vertical="center"/>
      <protection locked="0"/>
    </xf>
    <xf numFmtId="170" fontId="96" fillId="0" borderId="7" xfId="50" applyNumberFormat="1" applyFont="1" applyBorder="1" applyAlignment="1" applyProtection="1">
      <alignment horizontal="right" vertical="center"/>
      <protection locked="0"/>
    </xf>
    <xf numFmtId="170" fontId="0" fillId="9" borderId="7" xfId="0" applyNumberFormat="1" applyFill="1" applyBorder="1"/>
    <xf numFmtId="170" fontId="0" fillId="0" borderId="7" xfId="0" applyNumberFormat="1" applyBorder="1"/>
    <xf numFmtId="170" fontId="0" fillId="4" borderId="7" xfId="0" applyNumberFormat="1" applyFill="1" applyBorder="1" applyAlignment="1">
      <alignment wrapText="1"/>
    </xf>
    <xf numFmtId="170" fontId="0" fillId="6" borderId="7" xfId="0" applyNumberFormat="1" applyFill="1" applyBorder="1"/>
    <xf numFmtId="170" fontId="0" fillId="59" borderId="7" xfId="0" applyNumberFormat="1" applyFill="1" applyBorder="1" applyAlignment="1">
      <alignment wrapText="1"/>
    </xf>
    <xf numFmtId="170" fontId="0" fillId="3" borderId="17" xfId="0" applyNumberFormat="1" applyFill="1" applyBorder="1" applyAlignment="1">
      <alignment wrapText="1"/>
    </xf>
    <xf numFmtId="3" fontId="0" fillId="60" borderId="7" xfId="0" applyNumberFormat="1" applyFill="1" applyBorder="1"/>
    <xf numFmtId="3" fontId="0" fillId="59" borderId="7" xfId="0" applyNumberFormat="1" applyFill="1" applyBorder="1"/>
    <xf numFmtId="3" fontId="0" fillId="3" borderId="7" xfId="0" applyNumberFormat="1" applyFill="1" applyBorder="1"/>
    <xf numFmtId="9" fontId="0" fillId="3" borderId="7" xfId="71" applyFont="1" applyFill="1" applyBorder="1"/>
    <xf numFmtId="3" fontId="72" fillId="0" borderId="17" xfId="0" applyNumberFormat="1" applyFont="1" applyBorder="1"/>
    <xf numFmtId="3" fontId="72" fillId="0" borderId="121" xfId="0" applyNumberFormat="1" applyFont="1" applyBorder="1"/>
    <xf numFmtId="3" fontId="72" fillId="61" borderId="121" xfId="0" applyNumberFormat="1" applyFont="1" applyFill="1" applyBorder="1"/>
    <xf numFmtId="4" fontId="72" fillId="0" borderId="122" xfId="0" applyNumberFormat="1" applyFont="1" applyBorder="1"/>
    <xf numFmtId="3" fontId="0" fillId="0" borderId="121" xfId="0" applyNumberFormat="1" applyBorder="1"/>
    <xf numFmtId="3" fontId="97" fillId="0" borderId="123" xfId="0" applyNumberFormat="1" applyFont="1" applyBorder="1"/>
    <xf numFmtId="3" fontId="97" fillId="6" borderId="121" xfId="0" applyNumberFormat="1" applyFont="1" applyFill="1" applyBorder="1"/>
    <xf numFmtId="3" fontId="0" fillId="0" borderId="18" xfId="0" applyNumberFormat="1" applyBorder="1"/>
    <xf numFmtId="9" fontId="97" fillId="6" borderId="121" xfId="71" applyFont="1" applyFill="1" applyBorder="1"/>
    <xf numFmtId="3" fontId="0" fillId="56" borderId="7" xfId="0" applyNumberFormat="1" applyFill="1" applyBorder="1"/>
    <xf numFmtId="3" fontId="72" fillId="55" borderId="7" xfId="0" applyNumberFormat="1" applyFont="1" applyFill="1" applyBorder="1"/>
    <xf numFmtId="3" fontId="72" fillId="55" borderId="17" xfId="0" applyNumberFormat="1" applyFont="1" applyFill="1" applyBorder="1"/>
    <xf numFmtId="3" fontId="0" fillId="0" borderId="11" xfId="0" applyNumberFormat="1" applyBorder="1"/>
    <xf numFmtId="3" fontId="0" fillId="57" borderId="18" xfId="0" applyNumberFormat="1" applyFill="1" applyBorder="1"/>
    <xf numFmtId="3" fontId="0" fillId="55" borderId="18" xfId="0" applyNumberFormat="1" applyFill="1" applyBorder="1"/>
    <xf numFmtId="3" fontId="0" fillId="55" borderId="7" xfId="0" applyNumberFormat="1" applyFill="1" applyBorder="1"/>
    <xf numFmtId="3" fontId="0" fillId="55" borderId="17" xfId="0" applyNumberFormat="1" applyFill="1" applyBorder="1"/>
    <xf numFmtId="3" fontId="53" fillId="0" borderId="7" xfId="0" applyNumberFormat="1" applyFont="1" applyBorder="1"/>
    <xf numFmtId="3" fontId="53" fillId="3" borderId="7" xfId="0" applyNumberFormat="1" applyFont="1" applyFill="1" applyBorder="1"/>
    <xf numFmtId="170" fontId="4" fillId="6" borderId="7" xfId="0" applyNumberFormat="1" applyFont="1" applyFill="1" applyBorder="1"/>
    <xf numFmtId="3" fontId="1" fillId="3" borderId="7" xfId="0" applyNumberFormat="1" applyFont="1" applyFill="1" applyBorder="1"/>
    <xf numFmtId="3" fontId="94" fillId="61" borderId="121" xfId="0" applyNumberFormat="1" applyFont="1" applyFill="1" applyBorder="1"/>
    <xf numFmtId="0" fontId="93" fillId="0" borderId="7" xfId="50" applyFont="1" applyBorder="1" applyAlignment="1" applyProtection="1">
      <alignment horizontal="left" vertical="center"/>
      <protection locked="0"/>
    </xf>
    <xf numFmtId="170" fontId="93" fillId="0" borderId="7" xfId="50" applyNumberFormat="1" applyFont="1" applyBorder="1" applyAlignment="1" applyProtection="1">
      <alignment vertical="center"/>
      <protection locked="0"/>
    </xf>
    <xf numFmtId="170" fontId="93" fillId="0" borderId="7" xfId="50" applyNumberFormat="1" applyFont="1" applyBorder="1" applyAlignment="1" applyProtection="1">
      <alignment horizontal="right" vertical="center"/>
      <protection locked="0"/>
    </xf>
    <xf numFmtId="170" fontId="1" fillId="0" borderId="7" xfId="0" applyNumberFormat="1" applyFont="1" applyBorder="1"/>
    <xf numFmtId="170" fontId="1" fillId="0" borderId="7" xfId="0" applyNumberFormat="1" applyFont="1" applyBorder="1" applyAlignment="1">
      <alignment wrapText="1"/>
    </xf>
    <xf numFmtId="170" fontId="100" fillId="0" borderId="7" xfId="0" applyNumberFormat="1" applyFont="1" applyBorder="1"/>
    <xf numFmtId="170" fontId="1" fillId="0" borderId="17" xfId="0" applyNumberFormat="1" applyFont="1" applyBorder="1" applyAlignment="1">
      <alignment wrapText="1"/>
    </xf>
    <xf numFmtId="3" fontId="1" fillId="0" borderId="7" xfId="0" applyNumberFormat="1" applyFont="1" applyBorder="1"/>
    <xf numFmtId="3" fontId="101" fillId="0" borderId="7" xfId="0" applyNumberFormat="1" applyFont="1" applyBorder="1"/>
    <xf numFmtId="9" fontId="1" fillId="0" borderId="7" xfId="71" applyFont="1" applyFill="1" applyBorder="1"/>
    <xf numFmtId="3" fontId="94" fillId="0" borderId="17" xfId="0" applyNumberFormat="1" applyFont="1" applyBorder="1"/>
    <xf numFmtId="3" fontId="94" fillId="0" borderId="121" xfId="0" applyNumberFormat="1" applyFont="1" applyBorder="1"/>
    <xf numFmtId="3" fontId="94" fillId="6" borderId="121" xfId="0" applyNumberFormat="1" applyFont="1" applyFill="1" applyBorder="1"/>
    <xf numFmtId="3" fontId="95" fillId="0" borderId="123" xfId="0" applyNumberFormat="1" applyFont="1" applyBorder="1"/>
    <xf numFmtId="3" fontId="95" fillId="6" borderId="121" xfId="0" applyNumberFormat="1" applyFont="1" applyFill="1" applyBorder="1"/>
    <xf numFmtId="3" fontId="94" fillId="0" borderId="18" xfId="0" applyNumberFormat="1" applyFont="1" applyBorder="1"/>
    <xf numFmtId="3" fontId="94" fillId="0" borderId="7" xfId="0" applyNumberFormat="1" applyFont="1" applyBorder="1"/>
    <xf numFmtId="9" fontId="95" fillId="6" borderId="121" xfId="71" applyFont="1" applyFill="1" applyBorder="1"/>
    <xf numFmtId="3" fontId="1" fillId="56" borderId="7" xfId="0" applyNumberFormat="1" applyFont="1" applyFill="1" applyBorder="1"/>
    <xf numFmtId="3" fontId="1" fillId="6" borderId="7" xfId="0" applyNumberFormat="1" applyFont="1" applyFill="1" applyBorder="1"/>
    <xf numFmtId="3" fontId="94" fillId="55" borderId="7" xfId="0" applyNumberFormat="1" applyFont="1" applyFill="1" applyBorder="1"/>
    <xf numFmtId="3" fontId="94" fillId="55" borderId="17" xfId="0" applyNumberFormat="1" applyFont="1" applyFill="1" applyBorder="1"/>
    <xf numFmtId="3" fontId="62" fillId="0" borderId="11" xfId="0" applyNumberFormat="1" applyFont="1" applyBorder="1"/>
    <xf numFmtId="3" fontId="62" fillId="57" borderId="18" xfId="0" applyNumberFormat="1" applyFont="1" applyFill="1" applyBorder="1"/>
    <xf numFmtId="3" fontId="62" fillId="55" borderId="18" xfId="0" applyNumberFormat="1" applyFont="1" applyFill="1" applyBorder="1"/>
    <xf numFmtId="3" fontId="62" fillId="55" borderId="7" xfId="0" applyNumberFormat="1" applyFont="1" applyFill="1" applyBorder="1"/>
    <xf numFmtId="3" fontId="62" fillId="55" borderId="17" xfId="0" applyNumberFormat="1" applyFont="1" applyFill="1" applyBorder="1"/>
    <xf numFmtId="4" fontId="0" fillId="0" borderId="122" xfId="0" applyNumberFormat="1" applyBorder="1"/>
    <xf numFmtId="168" fontId="0" fillId="0" borderId="18" xfId="0" applyNumberFormat="1" applyBorder="1"/>
    <xf numFmtId="168" fontId="0" fillId="0" borderId="7" xfId="0" applyNumberFormat="1" applyBorder="1"/>
    <xf numFmtId="170" fontId="4" fillId="9" borderId="7" xfId="0" applyNumberFormat="1" applyFont="1" applyFill="1" applyBorder="1"/>
    <xf numFmtId="170" fontId="4" fillId="0" borderId="7" xfId="0" applyNumberFormat="1" applyFont="1" applyBorder="1"/>
    <xf numFmtId="170" fontId="4" fillId="4" borderId="7" xfId="0" applyNumberFormat="1" applyFont="1" applyFill="1" applyBorder="1" applyAlignment="1">
      <alignment wrapText="1"/>
    </xf>
    <xf numFmtId="170" fontId="4" fillId="59" borderId="7" xfId="0" applyNumberFormat="1" applyFont="1" applyFill="1" applyBorder="1" applyAlignment="1">
      <alignment wrapText="1"/>
    </xf>
    <xf numFmtId="170" fontId="4" fillId="3" borderId="17" xfId="0" applyNumberFormat="1" applyFont="1" applyFill="1" applyBorder="1" applyAlignment="1">
      <alignment wrapText="1"/>
    </xf>
    <xf numFmtId="4" fontId="72" fillId="6" borderId="121" xfId="0" applyNumberFormat="1" applyFont="1" applyFill="1" applyBorder="1"/>
    <xf numFmtId="0" fontId="96" fillId="0" borderId="11" xfId="50" applyFont="1" applyBorder="1" applyAlignment="1">
      <alignment horizontal="center" vertical="center"/>
    </xf>
    <xf numFmtId="170" fontId="96" fillId="58" borderId="7" xfId="50" applyNumberFormat="1" applyFont="1" applyFill="1" applyBorder="1" applyAlignment="1">
      <alignment vertical="center"/>
    </xf>
    <xf numFmtId="4" fontId="53" fillId="0" borderId="7" xfId="0" applyNumberFormat="1" applyFont="1" applyBorder="1"/>
    <xf numFmtId="3" fontId="4" fillId="0" borderId="7" xfId="0" applyNumberFormat="1" applyFont="1" applyBorder="1"/>
    <xf numFmtId="3" fontId="72" fillId="0" borderId="18" xfId="0" applyNumberFormat="1" applyFont="1" applyBorder="1"/>
    <xf numFmtId="4" fontId="1" fillId="0" borderId="7" xfId="0" applyNumberFormat="1" applyFont="1" applyBorder="1"/>
    <xf numFmtId="0" fontId="96" fillId="0" borderId="7" xfId="50" applyFont="1" applyBorder="1" applyAlignment="1">
      <alignment vertical="center"/>
    </xf>
    <xf numFmtId="4" fontId="0" fillId="0" borderId="7" xfId="0" applyNumberFormat="1" applyBorder="1"/>
    <xf numFmtId="170" fontId="96" fillId="58" borderId="7" xfId="50" applyNumberFormat="1" applyFont="1" applyFill="1" applyBorder="1" applyAlignment="1" applyProtection="1">
      <alignment horizontal="right" vertical="center"/>
      <protection locked="0"/>
    </xf>
    <xf numFmtId="3" fontId="0" fillId="6" borderId="7" xfId="0" applyNumberFormat="1" applyFill="1" applyBorder="1"/>
    <xf numFmtId="3" fontId="106" fillId="0" borderId="122" xfId="0" applyNumberFormat="1" applyFont="1" applyBorder="1"/>
    <xf numFmtId="3" fontId="106" fillId="57" borderId="122" xfId="0" applyNumberFormat="1" applyFont="1" applyFill="1" applyBorder="1"/>
    <xf numFmtId="3" fontId="106" fillId="55" borderId="122" xfId="0" applyNumberFormat="1" applyFont="1" applyFill="1" applyBorder="1"/>
    <xf numFmtId="3" fontId="106" fillId="55" borderId="17" xfId="0" applyNumberFormat="1" applyFont="1" applyFill="1" applyBorder="1"/>
    <xf numFmtId="0" fontId="96" fillId="0" borderId="122" xfId="50" applyFont="1" applyBorder="1" applyAlignment="1" applyProtection="1">
      <alignment horizontal="center" vertical="center"/>
      <protection locked="0"/>
    </xf>
    <xf numFmtId="0" fontId="96" fillId="0" borderId="11" xfId="50" applyFont="1" applyBorder="1" applyAlignment="1" applyProtection="1">
      <alignment horizontal="left" vertical="center"/>
      <protection locked="0"/>
    </xf>
    <xf numFmtId="170" fontId="0" fillId="9" borderId="12" xfId="0" applyNumberFormat="1" applyFill="1" applyBorder="1"/>
    <xf numFmtId="170" fontId="0" fillId="0" borderId="18" xfId="0" applyNumberFormat="1" applyBorder="1"/>
    <xf numFmtId="170" fontId="0" fillId="3" borderId="7" xfId="0" applyNumberFormat="1" applyFill="1" applyBorder="1" applyAlignment="1">
      <alignment wrapText="1"/>
    </xf>
    <xf numFmtId="3" fontId="72" fillId="0" borderId="123" xfId="0" applyNumberFormat="1" applyFont="1" applyBorder="1"/>
    <xf numFmtId="3" fontId="0" fillId="61" borderId="7" xfId="0" applyNumberFormat="1" applyFill="1" applyBorder="1"/>
    <xf numFmtId="3" fontId="72" fillId="0" borderId="12" xfId="0" applyNumberFormat="1" applyFont="1" applyBorder="1"/>
    <xf numFmtId="3" fontId="72" fillId="6" borderId="121" xfId="0" applyNumberFormat="1" applyFont="1" applyFill="1" applyBorder="1"/>
    <xf numFmtId="9" fontId="72" fillId="6" borderId="121" xfId="71" applyFont="1" applyFill="1" applyBorder="1"/>
    <xf numFmtId="0" fontId="96" fillId="0" borderId="122" xfId="50" applyFont="1" applyBorder="1" applyAlignment="1">
      <alignment horizontal="center" vertical="center"/>
    </xf>
    <xf numFmtId="3" fontId="72" fillId="61" borderId="12" xfId="0" applyNumberFormat="1" applyFont="1" applyFill="1" applyBorder="1"/>
    <xf numFmtId="3" fontId="0" fillId="61" borderId="18" xfId="0" applyNumberFormat="1" applyFill="1" applyBorder="1"/>
    <xf numFmtId="0" fontId="96" fillId="63" borderId="122" xfId="50" applyFont="1" applyFill="1" applyBorder="1" applyAlignment="1" applyProtection="1">
      <alignment horizontal="center" vertical="center"/>
      <protection locked="0"/>
    </xf>
    <xf numFmtId="0" fontId="96" fillId="63" borderId="11" xfId="50" applyFont="1" applyFill="1" applyBorder="1" applyAlignment="1" applyProtection="1">
      <alignment horizontal="left" vertical="center"/>
      <protection locked="0"/>
    </xf>
    <xf numFmtId="170" fontId="96" fillId="9" borderId="12" xfId="50" applyNumberFormat="1" applyFont="1" applyFill="1" applyBorder="1" applyAlignment="1" applyProtection="1">
      <alignment vertical="center"/>
      <protection locked="0"/>
    </xf>
    <xf numFmtId="170" fontId="0" fillId="63" borderId="18" xfId="0" applyNumberFormat="1" applyFill="1" applyBorder="1"/>
    <xf numFmtId="3" fontId="104" fillId="6" borderId="11" xfId="0" applyNumberFormat="1" applyFont="1" applyFill="1" applyBorder="1"/>
    <xf numFmtId="3" fontId="72" fillId="6" borderId="7" xfId="0" applyNumberFormat="1" applyFont="1" applyFill="1" applyBorder="1"/>
    <xf numFmtId="3" fontId="72" fillId="6" borderId="12" xfId="0" applyNumberFormat="1" applyFont="1" applyFill="1" applyBorder="1"/>
    <xf numFmtId="3" fontId="0" fillId="6" borderId="18" xfId="0" applyNumberFormat="1" applyFill="1" applyBorder="1"/>
    <xf numFmtId="0" fontId="96" fillId="0" borderId="11" xfId="50" applyFont="1" applyBorder="1" applyAlignment="1" applyProtection="1">
      <alignment vertical="center"/>
      <protection locked="0"/>
    </xf>
    <xf numFmtId="0" fontId="96" fillId="0" borderId="7" xfId="50" applyFont="1" applyBorder="1" applyAlignment="1" applyProtection="1">
      <alignment vertical="center"/>
      <protection locked="0"/>
    </xf>
    <xf numFmtId="3" fontId="96" fillId="58" borderId="7" xfId="50" applyNumberFormat="1" applyFont="1" applyFill="1" applyBorder="1" applyAlignment="1" applyProtection="1">
      <alignment horizontal="right" vertical="center"/>
      <protection locked="0"/>
    </xf>
    <xf numFmtId="3" fontId="96" fillId="0" borderId="7" xfId="50" applyNumberFormat="1" applyFont="1" applyBorder="1" applyAlignment="1" applyProtection="1">
      <alignment horizontal="right" vertical="center"/>
      <protection locked="0"/>
    </xf>
    <xf numFmtId="3" fontId="96" fillId="9" borderId="7" xfId="50" applyNumberFormat="1" applyFont="1" applyFill="1" applyBorder="1" applyAlignment="1" applyProtection="1">
      <alignment horizontal="right" vertical="center"/>
      <protection locked="0"/>
    </xf>
    <xf numFmtId="3" fontId="96" fillId="4" borderId="7" xfId="50" applyNumberFormat="1" applyFont="1" applyFill="1" applyBorder="1" applyAlignment="1" applyProtection="1">
      <alignment horizontal="right" vertical="center"/>
      <protection locked="0"/>
    </xf>
    <xf numFmtId="3" fontId="0" fillId="59" borderId="7" xfId="0" applyNumberFormat="1" applyFill="1" applyBorder="1" applyAlignment="1">
      <alignment wrapText="1"/>
    </xf>
    <xf numFmtId="3" fontId="0" fillId="3" borderId="17" xfId="0" applyNumberFormat="1" applyFill="1" applyBorder="1" applyAlignment="1">
      <alignment wrapText="1"/>
    </xf>
    <xf numFmtId="3" fontId="0" fillId="0" borderId="17" xfId="0" applyNumberFormat="1" applyBorder="1"/>
    <xf numFmtId="3" fontId="0" fillId="61" borderId="123" xfId="0" applyNumberFormat="1" applyFill="1" applyBorder="1"/>
    <xf numFmtId="3" fontId="72" fillId="0" borderId="122" xfId="0" applyNumberFormat="1" applyFont="1" applyBorder="1"/>
    <xf numFmtId="3" fontId="72" fillId="57" borderId="122" xfId="0" applyNumberFormat="1" applyFont="1" applyFill="1" applyBorder="1"/>
    <xf numFmtId="3" fontId="72" fillId="55" borderId="122" xfId="0" applyNumberFormat="1" applyFont="1" applyFill="1" applyBorder="1"/>
    <xf numFmtId="0" fontId="88" fillId="0" borderId="11" xfId="0" applyFont="1" applyBorder="1"/>
    <xf numFmtId="0" fontId="88" fillId="0" borderId="7" xfId="0" applyFont="1" applyBorder="1"/>
    <xf numFmtId="0" fontId="107" fillId="0" borderId="7" xfId="0" applyFont="1" applyBorder="1"/>
    <xf numFmtId="3" fontId="88" fillId="0" borderId="7" xfId="0" applyNumberFormat="1" applyFont="1" applyBorder="1"/>
    <xf numFmtId="3" fontId="88" fillId="0" borderId="12" xfId="0" applyNumberFormat="1" applyFont="1" applyBorder="1"/>
    <xf numFmtId="0" fontId="0" fillId="72" borderId="12" xfId="0" applyFill="1" applyBorder="1"/>
    <xf numFmtId="0" fontId="0" fillId="0" borderId="123" xfId="0" applyBorder="1"/>
    <xf numFmtId="0" fontId="114" fillId="0" borderId="123" xfId="0" applyFont="1" applyBorder="1"/>
    <xf numFmtId="17" fontId="13" fillId="4" borderId="39" xfId="0" applyNumberFormat="1" applyFont="1" applyFill="1" applyBorder="1" applyAlignment="1">
      <alignment horizontal="center"/>
    </xf>
    <xf numFmtId="0" fontId="13" fillId="4" borderId="40" xfId="0" applyFont="1" applyFill="1" applyBorder="1" applyAlignment="1">
      <alignment horizontal="center"/>
    </xf>
    <xf numFmtId="0" fontId="39" fillId="9" borderId="1" xfId="0" applyFont="1" applyFill="1" applyBorder="1" applyAlignment="1">
      <alignment horizontal="center" wrapText="1"/>
    </xf>
    <xf numFmtId="0" fontId="39" fillId="9" borderId="38" xfId="0" applyFont="1" applyFill="1" applyBorder="1" applyAlignment="1">
      <alignment horizontal="center" wrapText="1"/>
    </xf>
    <xf numFmtId="0" fontId="39" fillId="9" borderId="2" xfId="0" applyFont="1" applyFill="1" applyBorder="1" applyAlignment="1">
      <alignment horizontal="center" wrapText="1"/>
    </xf>
    <xf numFmtId="0" fontId="39" fillId="10" borderId="1" xfId="0" applyFont="1" applyFill="1" applyBorder="1" applyAlignment="1">
      <alignment horizontal="center" wrapText="1"/>
    </xf>
    <xf numFmtId="0" fontId="36" fillId="10" borderId="38" xfId="0" applyFont="1" applyFill="1" applyBorder="1" applyAlignment="1">
      <alignment horizontal="center" wrapText="1"/>
    </xf>
    <xf numFmtId="0" fontId="83" fillId="55" borderId="6" xfId="0" applyFont="1" applyFill="1" applyBorder="1" applyAlignment="1">
      <alignment horizontal="center" wrapText="1"/>
    </xf>
    <xf numFmtId="0" fontId="0" fillId="55" borderId="6" xfId="0" applyFill="1" applyBorder="1" applyAlignment="1">
      <alignment horizontal="center" wrapText="1"/>
    </xf>
    <xf numFmtId="0" fontId="83" fillId="45" borderId="6" xfId="0" applyFont="1" applyFill="1" applyBorder="1" applyAlignment="1">
      <alignment horizontal="center" wrapText="1"/>
    </xf>
    <xf numFmtId="0" fontId="0" fillId="45" borderId="6" xfId="0" applyFill="1" applyBorder="1" applyAlignment="1">
      <alignment horizontal="center" wrapText="1"/>
    </xf>
    <xf numFmtId="0" fontId="83" fillId="56" borderId="6" xfId="0" applyFont="1" applyFill="1" applyBorder="1" applyAlignment="1">
      <alignment horizontal="center" wrapText="1"/>
    </xf>
    <xf numFmtId="0" fontId="0" fillId="56" borderId="4" xfId="0" applyFill="1" applyBorder="1" applyAlignment="1">
      <alignment horizontal="center" wrapText="1"/>
    </xf>
    <xf numFmtId="2" fontId="39" fillId="3" borderId="1" xfId="0" applyNumberFormat="1" applyFont="1" applyFill="1" applyBorder="1" applyAlignment="1">
      <alignment horizontal="center" wrapText="1"/>
    </xf>
    <xf numFmtId="2" fontId="39" fillId="3" borderId="38" xfId="0" applyNumberFormat="1" applyFont="1" applyFill="1" applyBorder="1" applyAlignment="1">
      <alignment horizontal="center" wrapText="1"/>
    </xf>
    <xf numFmtId="3" fontId="39" fillId="6" borderId="104" xfId="0" applyNumberFormat="1" applyFont="1" applyFill="1" applyBorder="1" applyAlignment="1">
      <alignment horizontal="center" wrapText="1"/>
    </xf>
    <xf numFmtId="0" fontId="0" fillId="6" borderId="99" xfId="0" applyFill="1" applyBorder="1" applyAlignment="1">
      <alignment horizontal="center" wrapText="1"/>
    </xf>
    <xf numFmtId="0" fontId="0" fillId="6" borderId="105" xfId="0" applyFill="1" applyBorder="1" applyAlignment="1">
      <alignment horizontal="center" wrapText="1"/>
    </xf>
    <xf numFmtId="0" fontId="39" fillId="9" borderId="0" xfId="0" applyFont="1" applyFill="1" applyAlignment="1">
      <alignment horizontal="center" wrapText="1"/>
    </xf>
    <xf numFmtId="0" fontId="39" fillId="9" borderId="14" xfId="0" applyFont="1" applyFill="1" applyBorder="1" applyAlignment="1">
      <alignment horizontal="center" wrapText="1"/>
    </xf>
    <xf numFmtId="0" fontId="117" fillId="45" borderId="108" xfId="0" applyFont="1" applyFill="1" applyBorder="1" applyAlignment="1">
      <alignment horizontal="center" wrapText="1"/>
    </xf>
    <xf numFmtId="0" fontId="117" fillId="45" borderId="109" xfId="0" applyFont="1" applyFill="1" applyBorder="1" applyAlignment="1">
      <alignment horizontal="center" wrapText="1"/>
    </xf>
    <xf numFmtId="0" fontId="117" fillId="45" borderId="41" xfId="0" applyFont="1" applyFill="1" applyBorder="1" applyAlignment="1">
      <alignment horizontal="center" wrapText="1"/>
    </xf>
    <xf numFmtId="0" fontId="1" fillId="45" borderId="55" xfId="0" applyFont="1" applyFill="1" applyBorder="1" applyAlignment="1">
      <alignment horizontal="center" wrapText="1"/>
    </xf>
  </cellXfs>
  <cellStyles count="73">
    <cellStyle name="20 % – Zvýraznění 1" xfId="21" builtinId="30" customBuiltin="1"/>
    <cellStyle name="20 % – Zvýraznění 2" xfId="25" builtinId="34" customBuiltin="1"/>
    <cellStyle name="20 % – Zvýraznění 3" xfId="29" builtinId="38" customBuiltin="1"/>
    <cellStyle name="20 % – Zvýraznění 4" xfId="33" builtinId="42" customBuiltin="1"/>
    <cellStyle name="20 % – Zvýraznění 5" xfId="37" builtinId="46" customBuiltin="1"/>
    <cellStyle name="20 % – Zvýraznění 6" xfId="41" builtinId="50" customBuiltin="1"/>
    <cellStyle name="40 % – Zvýraznění 1" xfId="22" builtinId="31" customBuiltin="1"/>
    <cellStyle name="40 % – Zvýraznění 2" xfId="26" builtinId="35" customBuiltin="1"/>
    <cellStyle name="40 % – Zvýraznění 3" xfId="30" builtinId="39" customBuiltin="1"/>
    <cellStyle name="40 % – Zvýraznění 4" xfId="34" builtinId="43" customBuiltin="1"/>
    <cellStyle name="40 % – Zvýraznění 5" xfId="38" builtinId="47" customBuiltin="1"/>
    <cellStyle name="40 % – Zvýraznění 6" xfId="42" builtinId="51" customBuiltin="1"/>
    <cellStyle name="60 % – Zvýraznění 1" xfId="23" builtinId="32" customBuiltin="1"/>
    <cellStyle name="60 % – Zvýraznění 2" xfId="27" builtinId="36" customBuiltin="1"/>
    <cellStyle name="60 % – Zvýraznění 3" xfId="31" builtinId="40" customBuiltin="1"/>
    <cellStyle name="60 % – Zvýraznění 4" xfId="35" builtinId="44" customBuiltin="1"/>
    <cellStyle name="60 % – Zvýraznění 5" xfId="39" builtinId="48" customBuiltin="1"/>
    <cellStyle name="60 % – Zvýraznění 6" xfId="43" builtinId="52" customBuiltin="1"/>
    <cellStyle name="Celkem" xfId="19" builtinId="25" customBuiltin="1"/>
    <cellStyle name="Čárka 2" xfId="53" xr:uid="{F30CD2DB-8AEC-4EED-AF59-D060D77D0F83}"/>
    <cellStyle name="Čárka 3" xfId="66" xr:uid="{66EF64F7-CFC4-402A-989D-10FC3491DDB2}"/>
    <cellStyle name="Čárka 4" xfId="44" xr:uid="{EA85FA58-FFC0-4220-B23B-22376E20524E}"/>
    <cellStyle name="Hyperlink" xfId="72" xr:uid="{7DF213D3-1EC4-4349-88C3-71A938009853}"/>
    <cellStyle name="Hypertextový odkaz" xfId="1" builtinId="8"/>
    <cellStyle name="Kontrolní buňka" xfId="15" builtinId="23" customBuiltin="1"/>
    <cellStyle name="Měna 2" xfId="67" xr:uid="{6AE56072-7ECF-454C-ACC0-BE8BA949F4AF}"/>
    <cellStyle name="Nadpis - excel" xfId="55" xr:uid="{D43C2C2E-4B11-41DE-A832-F61509EBCAE6}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ázev 2" xfId="63" xr:uid="{F68C7415-0358-4289-9941-B5FE85737B2C}"/>
    <cellStyle name="Neutrální" xfId="10" builtinId="28" customBuiltin="1"/>
    <cellStyle name="Neutrální 2" xfId="46" xr:uid="{767B9AE0-6298-4419-A98B-97C704703095}"/>
    <cellStyle name="Neutrální 3" xfId="64" xr:uid="{774E87FF-05C4-44E9-8EF2-F90FBAD45E33}"/>
    <cellStyle name="Normální" xfId="0" builtinId="0"/>
    <cellStyle name="Normální 10" xfId="56" xr:uid="{899ABE20-4B4D-4F7A-A1FA-9530E0E1F411}"/>
    <cellStyle name="Normální 11 2" xfId="61" xr:uid="{C4589FC4-185F-492C-AFF9-0DC2B692AC47}"/>
    <cellStyle name="normální 14 2 2" xfId="58" xr:uid="{71DF46B2-7F6F-45DC-91C0-C9B6F63013B7}"/>
    <cellStyle name="Normální 2" xfId="48" xr:uid="{86CDDB5A-E112-4547-83B0-43EC45A9E260}"/>
    <cellStyle name="normální 2 2" xfId="52" xr:uid="{43872E49-4E5A-419E-A939-9AECBCDFBA1A}"/>
    <cellStyle name="Normální 2 3" xfId="57" xr:uid="{A2E1E4B0-D5B9-4EEA-8FAC-BDE7C19DE00E}"/>
    <cellStyle name="normální 2 5" xfId="59" xr:uid="{45BD61F0-AD3D-45E9-8E40-36C764E55572}"/>
    <cellStyle name="normální 3" xfId="49" xr:uid="{A54743F0-0CB2-411C-AAFF-D75E94E8BC6D}"/>
    <cellStyle name="Normální 3 2" xfId="62" xr:uid="{3CC94170-AB9F-4951-B5BC-0B19B3E6E464}"/>
    <cellStyle name="Normální 4" xfId="51" xr:uid="{F2808B9A-8395-4FF1-80F6-BF44D0EF76F6}"/>
    <cellStyle name="Normální 5" xfId="65" xr:uid="{7B380956-E124-434D-8917-CE65D0B4DA74}"/>
    <cellStyle name="Normální 6" xfId="68" xr:uid="{E1778F0D-6C63-4BB1-8D12-5F0266CC1F30}"/>
    <cellStyle name="normální 7" xfId="50" xr:uid="{56EA8132-7BD4-42F1-BF18-53CD1D7406DE}"/>
    <cellStyle name="Normální 8" xfId="69" xr:uid="{7C5CF747-24DA-411A-9989-D6E6A9361980}"/>
    <cellStyle name="Normální 9" xfId="70" xr:uid="{F79B4448-E809-4B7A-A6DC-B5CF0194D728}"/>
    <cellStyle name="Poznámka" xfId="17" builtinId="10" customBuiltin="1"/>
    <cellStyle name="Procenta" xfId="71" builtinId="5"/>
    <cellStyle name="Procenta 3 2" xfId="60" xr:uid="{DB72B6E2-4C3E-4908-95CE-2A3D2A6FC6CA}"/>
    <cellStyle name="Propojená buňka" xfId="14" builtinId="24" customBuiltin="1"/>
    <cellStyle name="S1" xfId="54" xr:uid="{B7648F70-303F-497C-85A2-1AE9979006B8}"/>
    <cellStyle name="S2" xfId="2" xr:uid="{68BEA947-A081-4AAF-AEAA-9EFCDA3F0A59}"/>
    <cellStyle name="Správně" xfId="8" builtinId="26" customBuiltin="1"/>
    <cellStyle name="Správně 2" xfId="45" xr:uid="{75158F71-A82F-4DFD-8112-614AD9349492}"/>
    <cellStyle name="Špatně" xfId="9" builtinId="27" customBuiltin="1"/>
    <cellStyle name="Špatně 2" xfId="47" xr:uid="{8C1B7053-9335-485C-989F-1806B695F6C1}"/>
    <cellStyle name="Text upozornění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Ekonomicke\Monitoring\2024\monitoring_2024.xlsx" TargetMode="External"/><Relationship Id="rId1" Type="http://schemas.openxmlformats.org/officeDocument/2006/relationships/externalLinkPath" Target="file:///S:\Ekonomicke\Monitoring\2024\monitoring_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zdenka.kotulanova/AppData/Local/Microsoft/Windows/INetCache/Content.Outlook/6T1CA7R4/Rozpo&#269;et%20ITO%20-%202026%20%20n&#225;vrh.xlsx" TargetMode="External"/><Relationship Id="rId2" Type="http://schemas.openxmlformats.org/officeDocument/2006/relationships/externalLinkPath" Target="file:///C:\Users\zdenka.kotulanova\AppData\Local\Microsoft\Windows\INetCache\Content.Outlook\6T1CA7R4\Rozpo&#269;et%20ITO%20-%202026%20%20n&#225;vrh.xlsx" TargetMode="External"/><Relationship Id="rId1" Type="http://schemas.openxmlformats.org/officeDocument/2006/relationships/externalLinkPath" Target="/Users/zdenka.kotulanova/AppData/Local/Microsoft/Windows/INetCache/Content.Outlook/6T1CA7R4/Rozpo&#269;et%20ITO%20-%202026%20%20n&#225;vrh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vupraha.sharepoint.com/sites/IT/Sdilene%20dokumenty/General/03%20-%20Dokumenty/Rozpo&#269;et/Rozpo&#269;et%20ITO%20-%202024.xlsx" TargetMode="External"/><Relationship Id="rId1" Type="http://schemas.openxmlformats.org/officeDocument/2006/relationships/externalLinkPath" Target="https://avupraha.sharepoint.com/sites/IT/Sdilene%20dokumenty/General/03%20-%20Dokumenty/Rozpo&#269;et/Rozpo&#269;et%20ITO%20-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Ucetni\Rozpo&#269;et\Rozpo&#269;et%202026\N&#225;vrh%20rozpo&#269;tu\Schv&#225;len&#253;%20rozpo&#269;et%202025.xlsx" TargetMode="External"/><Relationship Id="rId1" Type="http://schemas.openxmlformats.org/officeDocument/2006/relationships/externalLinkPath" Target="file:///S:\Ucetni\Rozpo&#269;et\Rozpo&#269;et%202026\N&#225;vrh%20rozpo&#269;tu\Schv&#225;len&#253;%20rozpo&#269;et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s\EKONOMICKE\07%20Rozpo&#269;et\Rozpo&#269;et%202021\Rozpo&#269;et%202021_tabulkov&#225;%20&#269;&#225;st_v&#353;e_var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evzen.mrazek/Documents/07%20Rozpo&#269;et/Rozpo&#269;et%202022/N&#225;vrh%20rozpo&#269;tu%202022_var.1_ME.xlsx" TargetMode="External"/><Relationship Id="rId1" Type="http://schemas.openxmlformats.org/officeDocument/2006/relationships/externalLinkPath" Target="/Users/evzen.mrazek/Documents/07%20Rozpo&#269;et/Rozpo&#269;et%202022/N&#225;vrh%20rozpo&#269;tu%202022_var.1_M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evzen.mrazek/Documents/Pl&#225;n%20ITO%202024.xlsx" TargetMode="External"/><Relationship Id="rId1" Type="http://schemas.openxmlformats.org/officeDocument/2006/relationships/externalLinkPath" Target="/Users/evzen.mrazek/Documents/Pl&#225;n%20ITO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Ucetni\Rozpo&#269;et\Rozpo&#269;et%202025\4.%20Schv&#225;len&#253;%20rozpo&#269;et\N&#225;vrh%20rozpo&#269;tu%202025_07_05_2025_AS.xlsx" TargetMode="External"/><Relationship Id="rId1" Type="http://schemas.openxmlformats.org/officeDocument/2006/relationships/externalLinkPath" Target="file:///S:\Ucetni\Rozpo&#269;et\Rozpo&#269;et%202025\4.%20Schv&#225;len&#253;%20rozpo&#269;et\N&#225;vrh%20rozpo&#269;tu%202025_07_05_2025_A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s\EKONOMICKE\07%20Rozpo&#269;et\Rozpo&#269;et%202022\N&#225;vrh%20rozpo&#269;tu\Vyhodnocen&#237;_2021_1_M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s\EKONOMICKE\07%20Rozpo&#269;et\Rozpo&#269;et%202022\N&#225;vrh%20rozpo&#269;tu\N&#225;vrh%20rozpo&#269;tu%20final_MF6%25_16.5.22_26.10.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cetni\Rozpo&#269;et\Rozpo&#269;et%202023\Schv&#225;len&#253;%20rozpo&#269;et\Schv&#225;len&#253;%20rozpo&#269;et_2023_projedn&#225;n%20v%20AS%203.5.2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ýsledovka AVU celkem"/>
      <sheetName val="výsledovka (1111)"/>
      <sheetName val="porovnání nákladů"/>
      <sheetName val="čerpání rozpočtu ateliérů"/>
      <sheetName val="čerpání rozpočtu pracovišť"/>
      <sheetName val="mzdové náklady"/>
      <sheetName val="významné náklady"/>
      <sheetName val="energie"/>
      <sheetName val="kalkulace energie"/>
      <sheetName val="rekonstrukce"/>
      <sheetName val="346_a čerpání"/>
      <sheetName val="CF"/>
      <sheetName val="mzdy dle činností"/>
      <sheetName val="dodavatelé"/>
    </sheetNames>
    <sheetDataSet>
      <sheetData sheetId="0"/>
      <sheetData sheetId="1"/>
      <sheetData sheetId="2"/>
      <sheetData sheetId="3"/>
      <sheetData sheetId="4"/>
      <sheetData sheetId="5">
        <row r="2">
          <cell r="G2">
            <v>113770229.04000001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ožadavky 2025"/>
      <sheetName val="2025"/>
      <sheetName val="2026"/>
      <sheetName val="projekty"/>
      <sheetName val="zadanky 20400|1|2_011122"/>
      <sheetName val="zadanky all_011122"/>
      <sheetName val="011122_13082025"/>
      <sheetName val="011122_03082023"/>
    </sheetNames>
    <sheetDataSet>
      <sheetData sheetId="0" refreshError="1"/>
      <sheetData sheetId="1" refreshError="1"/>
      <sheetData sheetId="2" refreshError="1"/>
      <sheetData sheetId="3">
        <row r="5">
          <cell r="B5">
            <v>970</v>
          </cell>
          <cell r="O5">
            <v>100000</v>
          </cell>
        </row>
        <row r="6">
          <cell r="B6">
            <v>970</v>
          </cell>
          <cell r="O6">
            <v>52115</v>
          </cell>
        </row>
        <row r="7">
          <cell r="B7">
            <v>970</v>
          </cell>
          <cell r="O7">
            <v>78529</v>
          </cell>
        </row>
        <row r="8">
          <cell r="B8">
            <v>970</v>
          </cell>
          <cell r="O8">
            <v>14278</v>
          </cell>
        </row>
        <row r="9">
          <cell r="B9">
            <v>970</v>
          </cell>
          <cell r="O9">
            <v>40000</v>
          </cell>
        </row>
        <row r="10">
          <cell r="B10">
            <v>970</v>
          </cell>
          <cell r="O10">
            <v>80000</v>
          </cell>
        </row>
        <row r="11">
          <cell r="B11">
            <v>970</v>
          </cell>
          <cell r="O11">
            <v>14278</v>
          </cell>
        </row>
        <row r="12">
          <cell r="B12">
            <v>970</v>
          </cell>
          <cell r="O12">
            <v>60000</v>
          </cell>
        </row>
        <row r="13">
          <cell r="B13">
            <v>970</v>
          </cell>
          <cell r="O13">
            <v>55610</v>
          </cell>
        </row>
        <row r="14">
          <cell r="B14">
            <v>970</v>
          </cell>
          <cell r="O14">
            <v>100000</v>
          </cell>
        </row>
        <row r="15">
          <cell r="B15">
            <v>980</v>
          </cell>
          <cell r="O15">
            <v>150000</v>
          </cell>
        </row>
        <row r="16">
          <cell r="B16">
            <v>980</v>
          </cell>
          <cell r="O16">
            <v>200000</v>
          </cell>
        </row>
        <row r="17">
          <cell r="B17">
            <v>980</v>
          </cell>
          <cell r="O17">
            <v>300000</v>
          </cell>
        </row>
        <row r="18">
          <cell r="B18">
            <v>980</v>
          </cell>
          <cell r="O18">
            <v>250000</v>
          </cell>
        </row>
        <row r="19">
          <cell r="B19">
            <v>980</v>
          </cell>
          <cell r="O19">
            <v>150000</v>
          </cell>
        </row>
        <row r="20">
          <cell r="B20">
            <v>980</v>
          </cell>
          <cell r="O20">
            <v>107085</v>
          </cell>
        </row>
        <row r="21">
          <cell r="B21">
            <v>980</v>
          </cell>
          <cell r="O21">
            <v>178475</v>
          </cell>
        </row>
        <row r="22">
          <cell r="B22">
            <v>980</v>
          </cell>
          <cell r="O22">
            <v>107085</v>
          </cell>
        </row>
        <row r="23">
          <cell r="B23">
            <v>980</v>
          </cell>
          <cell r="O23">
            <v>412969</v>
          </cell>
        </row>
        <row r="24">
          <cell r="B24">
            <v>980</v>
          </cell>
          <cell r="O24">
            <v>350000</v>
          </cell>
        </row>
        <row r="25">
          <cell r="B25">
            <v>990</v>
          </cell>
          <cell r="O25">
            <v>1000000</v>
          </cell>
        </row>
      </sheetData>
      <sheetData sheetId="4" refreshError="1"/>
      <sheetData sheetId="5">
        <row r="2">
          <cell r="I2">
            <v>110</v>
          </cell>
          <cell r="J2">
            <v>0</v>
          </cell>
        </row>
        <row r="3">
          <cell r="I3">
            <v>111</v>
          </cell>
          <cell r="J3">
            <v>0</v>
          </cell>
        </row>
        <row r="4">
          <cell r="I4">
            <v>112</v>
          </cell>
          <cell r="J4">
            <v>239700.56</v>
          </cell>
        </row>
        <row r="5">
          <cell r="I5">
            <v>120</v>
          </cell>
          <cell r="J5">
            <v>1869429.4299999997</v>
          </cell>
        </row>
        <row r="6">
          <cell r="I6">
            <v>141</v>
          </cell>
          <cell r="J6">
            <v>499442.02</v>
          </cell>
        </row>
        <row r="7">
          <cell r="I7">
            <v>142</v>
          </cell>
          <cell r="J7">
            <v>0</v>
          </cell>
        </row>
        <row r="8">
          <cell r="I8">
            <v>143</v>
          </cell>
          <cell r="J8">
            <v>4843.4182499999997</v>
          </cell>
        </row>
        <row r="9">
          <cell r="I9">
            <v>149</v>
          </cell>
          <cell r="J9">
            <v>274015.32795000001</v>
          </cell>
        </row>
        <row r="10">
          <cell r="I10">
            <v>190</v>
          </cell>
          <cell r="J10">
            <v>0</v>
          </cell>
        </row>
        <row r="11">
          <cell r="I11">
            <v>210</v>
          </cell>
          <cell r="J11">
            <v>475112.99999999994</v>
          </cell>
        </row>
        <row r="12">
          <cell r="I12">
            <v>211</v>
          </cell>
          <cell r="J12">
            <v>0</v>
          </cell>
        </row>
        <row r="13">
          <cell r="I13">
            <v>220</v>
          </cell>
          <cell r="J13">
            <v>0</v>
          </cell>
        </row>
        <row r="14">
          <cell r="I14">
            <v>221</v>
          </cell>
          <cell r="J14">
            <v>0</v>
          </cell>
        </row>
        <row r="15">
          <cell r="I15">
            <v>222</v>
          </cell>
          <cell r="J15">
            <v>0</v>
          </cell>
        </row>
        <row r="16">
          <cell r="I16">
            <v>223</v>
          </cell>
          <cell r="J16">
            <v>0</v>
          </cell>
        </row>
        <row r="17">
          <cell r="I17">
            <v>224</v>
          </cell>
          <cell r="J17">
            <v>0</v>
          </cell>
        </row>
        <row r="18">
          <cell r="I18">
            <v>230</v>
          </cell>
          <cell r="J18">
            <v>0</v>
          </cell>
        </row>
        <row r="19">
          <cell r="I19">
            <v>290</v>
          </cell>
          <cell r="J19">
            <v>8708</v>
          </cell>
        </row>
        <row r="20">
          <cell r="I20">
            <v>310</v>
          </cell>
          <cell r="J20">
            <v>37588</v>
          </cell>
        </row>
        <row r="21">
          <cell r="I21">
            <v>311</v>
          </cell>
          <cell r="J21">
            <v>0</v>
          </cell>
        </row>
        <row r="22">
          <cell r="I22">
            <v>320</v>
          </cell>
          <cell r="J22">
            <v>285039</v>
          </cell>
        </row>
        <row r="23">
          <cell r="I23">
            <v>321</v>
          </cell>
          <cell r="J23">
            <v>0</v>
          </cell>
        </row>
        <row r="24">
          <cell r="I24">
            <v>330</v>
          </cell>
          <cell r="J24">
            <v>0</v>
          </cell>
        </row>
        <row r="25">
          <cell r="I25">
            <v>331</v>
          </cell>
          <cell r="J25">
            <v>0</v>
          </cell>
        </row>
        <row r="26">
          <cell r="I26">
            <v>332</v>
          </cell>
          <cell r="J26">
            <v>0</v>
          </cell>
        </row>
        <row r="27">
          <cell r="I27">
            <v>341</v>
          </cell>
          <cell r="J27">
            <v>0</v>
          </cell>
        </row>
        <row r="28">
          <cell r="I28">
            <v>342</v>
          </cell>
          <cell r="J28">
            <v>0</v>
          </cell>
        </row>
        <row r="29">
          <cell r="I29">
            <v>343</v>
          </cell>
          <cell r="J29">
            <v>0</v>
          </cell>
        </row>
        <row r="30">
          <cell r="I30">
            <v>344</v>
          </cell>
          <cell r="J30">
            <v>34539.449999999997</v>
          </cell>
        </row>
        <row r="31">
          <cell r="I31">
            <v>345</v>
          </cell>
          <cell r="J31">
            <v>413276.17</v>
          </cell>
        </row>
        <row r="32">
          <cell r="I32">
            <v>346</v>
          </cell>
          <cell r="J32">
            <v>0</v>
          </cell>
        </row>
        <row r="33">
          <cell r="I33">
            <v>347</v>
          </cell>
          <cell r="J33">
            <v>0</v>
          </cell>
        </row>
        <row r="34">
          <cell r="I34">
            <v>348</v>
          </cell>
          <cell r="J34">
            <v>0</v>
          </cell>
        </row>
        <row r="35">
          <cell r="I35">
            <v>349</v>
          </cell>
          <cell r="J35">
            <v>0</v>
          </cell>
        </row>
        <row r="36">
          <cell r="I36">
            <v>350</v>
          </cell>
          <cell r="J36">
            <v>3300</v>
          </cell>
        </row>
        <row r="37">
          <cell r="I37">
            <v>360</v>
          </cell>
          <cell r="J37">
            <v>0</v>
          </cell>
        </row>
        <row r="38">
          <cell r="I38">
            <v>370</v>
          </cell>
          <cell r="J38">
            <v>2759</v>
          </cell>
        </row>
        <row r="39">
          <cell r="I39">
            <v>390</v>
          </cell>
          <cell r="J39">
            <v>0</v>
          </cell>
        </row>
        <row r="40">
          <cell r="I40">
            <v>410</v>
          </cell>
          <cell r="J40">
            <v>142313.69</v>
          </cell>
        </row>
        <row r="41">
          <cell r="I41">
            <v>411</v>
          </cell>
          <cell r="J41">
            <v>105568.90000000001</v>
          </cell>
        </row>
        <row r="42">
          <cell r="I42">
            <v>420</v>
          </cell>
          <cell r="J42">
            <v>5288</v>
          </cell>
        </row>
        <row r="43">
          <cell r="I43">
            <v>421</v>
          </cell>
          <cell r="J43">
            <v>0</v>
          </cell>
        </row>
        <row r="44">
          <cell r="I44">
            <v>430</v>
          </cell>
          <cell r="J44">
            <v>38009.07</v>
          </cell>
        </row>
        <row r="45">
          <cell r="I45">
            <v>431</v>
          </cell>
          <cell r="J45">
            <v>256211.1</v>
          </cell>
        </row>
        <row r="46">
          <cell r="I46">
            <v>440</v>
          </cell>
          <cell r="J46">
            <v>217720.2</v>
          </cell>
        </row>
        <row r="47">
          <cell r="I47">
            <v>441</v>
          </cell>
          <cell r="J47">
            <v>462506.33</v>
          </cell>
        </row>
        <row r="48">
          <cell r="I48">
            <v>442</v>
          </cell>
          <cell r="J48">
            <v>0</v>
          </cell>
        </row>
        <row r="49">
          <cell r="I49">
            <v>510</v>
          </cell>
          <cell r="J49">
            <v>0</v>
          </cell>
        </row>
        <row r="50">
          <cell r="I50">
            <v>520</v>
          </cell>
          <cell r="J50">
            <v>8542.6</v>
          </cell>
        </row>
        <row r="51">
          <cell r="I51">
            <v>530</v>
          </cell>
          <cell r="J51">
            <v>0</v>
          </cell>
        </row>
        <row r="52">
          <cell r="I52">
            <v>540</v>
          </cell>
          <cell r="J52">
            <v>0</v>
          </cell>
        </row>
        <row r="53">
          <cell r="I53">
            <v>590</v>
          </cell>
          <cell r="J53">
            <v>0</v>
          </cell>
        </row>
        <row r="54">
          <cell r="I54">
            <v>600</v>
          </cell>
          <cell r="J54">
            <v>1442038</v>
          </cell>
        </row>
        <row r="55">
          <cell r="I55">
            <v>601</v>
          </cell>
          <cell r="J55">
            <v>444760</v>
          </cell>
        </row>
        <row r="56">
          <cell r="I56">
            <v>710</v>
          </cell>
          <cell r="J56">
            <v>178710</v>
          </cell>
        </row>
        <row r="57">
          <cell r="I57">
            <v>720</v>
          </cell>
          <cell r="J57">
            <v>20000</v>
          </cell>
        </row>
        <row r="58">
          <cell r="I58">
            <v>730</v>
          </cell>
          <cell r="J58">
            <v>27220</v>
          </cell>
        </row>
        <row r="59">
          <cell r="I59">
            <v>800</v>
          </cell>
          <cell r="J59">
            <v>0</v>
          </cell>
        </row>
        <row r="60">
          <cell r="I60">
            <v>910</v>
          </cell>
          <cell r="J60">
            <v>0</v>
          </cell>
        </row>
        <row r="61">
          <cell r="I61">
            <v>911</v>
          </cell>
          <cell r="J61">
            <v>95590</v>
          </cell>
        </row>
        <row r="62">
          <cell r="I62">
            <v>912</v>
          </cell>
          <cell r="J62">
            <v>0</v>
          </cell>
        </row>
        <row r="63">
          <cell r="I63">
            <v>913</v>
          </cell>
          <cell r="J63">
            <v>0</v>
          </cell>
        </row>
        <row r="64">
          <cell r="I64">
            <v>914</v>
          </cell>
          <cell r="J64">
            <v>0</v>
          </cell>
        </row>
        <row r="65">
          <cell r="I65">
            <v>915</v>
          </cell>
          <cell r="J65">
            <v>0</v>
          </cell>
        </row>
        <row r="66">
          <cell r="I66">
            <v>916</v>
          </cell>
          <cell r="J66">
            <v>0</v>
          </cell>
        </row>
        <row r="67">
          <cell r="I67">
            <v>951</v>
          </cell>
          <cell r="J67">
            <v>0</v>
          </cell>
        </row>
        <row r="68">
          <cell r="I68">
            <v>952</v>
          </cell>
          <cell r="J68">
            <v>28556</v>
          </cell>
        </row>
        <row r="69">
          <cell r="I69">
            <v>953</v>
          </cell>
          <cell r="J69">
            <v>0</v>
          </cell>
        </row>
        <row r="70">
          <cell r="I70">
            <v>954</v>
          </cell>
          <cell r="J70">
            <v>0</v>
          </cell>
        </row>
        <row r="71">
          <cell r="I71">
            <v>955</v>
          </cell>
          <cell r="J71">
            <v>0</v>
          </cell>
        </row>
        <row r="72">
          <cell r="I72">
            <v>956</v>
          </cell>
          <cell r="J72">
            <v>0</v>
          </cell>
        </row>
        <row r="73">
          <cell r="I73">
            <v>957</v>
          </cell>
          <cell r="J73">
            <v>0</v>
          </cell>
        </row>
        <row r="74">
          <cell r="I74">
            <v>958</v>
          </cell>
          <cell r="J74">
            <v>0</v>
          </cell>
        </row>
        <row r="75">
          <cell r="I75">
            <v>959</v>
          </cell>
          <cell r="J75">
            <v>0</v>
          </cell>
        </row>
        <row r="76">
          <cell r="I76">
            <v>961</v>
          </cell>
          <cell r="J76">
            <v>60500</v>
          </cell>
        </row>
        <row r="77">
          <cell r="I77">
            <v>970</v>
          </cell>
          <cell r="J77">
            <v>0</v>
          </cell>
        </row>
        <row r="78">
          <cell r="I78">
            <v>980</v>
          </cell>
          <cell r="J78">
            <v>0</v>
          </cell>
        </row>
        <row r="79">
          <cell r="I79">
            <v>990</v>
          </cell>
          <cell r="J79">
            <v>0</v>
          </cell>
        </row>
      </sheetData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UkRnmkl2UGiUz1nBTSdmKSyLTpANaJNtIZmIGI1H02zF7kYzR3NTZOTMprKarko" itemId="01IQ34HBCKP5TFQDIHCRDJIPCHRNS2PYJ3">
      <xxl21:absoluteUrl r:id="rId2"/>
    </xxl21:alternateUrls>
    <sheetNames>
      <sheetName val="2024"/>
      <sheetName val="zadanky 20400|1|2_011122"/>
      <sheetName val="zadanky all_011122"/>
      <sheetName val="011122_20032025"/>
      <sheetName val="2023"/>
      <sheetName val="011122_03082023"/>
    </sheetNames>
    <sheetDataSet>
      <sheetData sheetId="0">
        <row r="5">
          <cell r="B5">
            <v>110</v>
          </cell>
          <cell r="C5" t="str">
            <v>Aplikace</v>
          </cell>
          <cell r="D5" t="str">
            <v>STAG</v>
          </cell>
          <cell r="E5" t="str">
            <v>Platba za uživatele IS STAG / stávající servis + nový poušál za nové služby NPO 200 zis.Kč/rok/</v>
          </cell>
          <cell r="F5" t="str">
            <v>E</v>
          </cell>
          <cell r="G5" t="str">
            <v>Mandatorní</v>
          </cell>
          <cell r="H5">
            <v>300000</v>
          </cell>
          <cell r="I5">
            <v>99000</v>
          </cell>
          <cell r="J5">
            <v>0</v>
          </cell>
          <cell r="K5">
            <v>99000</v>
          </cell>
          <cell r="L5">
            <v>350000</v>
          </cell>
          <cell r="M5">
            <v>0</v>
          </cell>
          <cell r="N5">
            <v>350000</v>
          </cell>
          <cell r="O5"/>
          <cell r="P5">
            <v>0</v>
          </cell>
          <cell r="Q5">
            <v>108900.00000000001</v>
          </cell>
          <cell r="R5">
            <v>99000</v>
          </cell>
          <cell r="S5">
            <v>0</v>
          </cell>
          <cell r="T5">
            <v>99000</v>
          </cell>
          <cell r="U5">
            <v>198000</v>
          </cell>
          <cell r="V5">
            <v>99000</v>
          </cell>
          <cell r="W5"/>
          <cell r="X5">
            <v>90000</v>
          </cell>
          <cell r="Y5">
            <v>0</v>
          </cell>
          <cell r="Z5">
            <v>90000</v>
          </cell>
          <cell r="AA5">
            <v>0</v>
          </cell>
          <cell r="AB5" t="str">
            <v>Rozpočet IT</v>
          </cell>
          <cell r="AC5" t="str">
            <v>ANO</v>
          </cell>
          <cell r="AD5">
            <v>0</v>
          </cell>
          <cell r="AE5">
            <v>0</v>
          </cell>
          <cell r="AF5">
            <v>449000</v>
          </cell>
          <cell r="AG5" t="str">
            <v>Nutné k fungování školy</v>
          </cell>
        </row>
        <row r="6">
          <cell r="B6">
            <v>120</v>
          </cell>
          <cell r="C6" t="str">
            <v>Aplikace</v>
          </cell>
          <cell r="D6" t="str">
            <v>Magion</v>
          </cell>
          <cell r="E6" t="str">
            <v>Platba za uživatele IS Magion</v>
          </cell>
          <cell r="F6" t="str">
            <v>E</v>
          </cell>
          <cell r="G6" t="str">
            <v>Mandatorní</v>
          </cell>
          <cell r="H6">
            <v>1706733.6</v>
          </cell>
          <cell r="I6">
            <v>1551576</v>
          </cell>
          <cell r="J6">
            <v>0</v>
          </cell>
          <cell r="K6">
            <v>-241418.97999999998</v>
          </cell>
          <cell r="L6">
            <v>1551576</v>
          </cell>
          <cell r="M6">
            <v>2068749.37</v>
          </cell>
          <cell r="N6">
            <v>-517173.37000000011</v>
          </cell>
          <cell r="O6"/>
          <cell r="P6">
            <v>0</v>
          </cell>
          <cell r="Q6">
            <v>1877406.96</v>
          </cell>
          <cell r="R6">
            <v>1551576</v>
          </cell>
          <cell r="S6">
            <v>2068749.37</v>
          </cell>
          <cell r="T6">
            <v>-517173.37000000011</v>
          </cell>
          <cell r="U6">
            <v>-1034346.7400000002</v>
          </cell>
          <cell r="V6">
            <v>-517173.37000000011</v>
          </cell>
          <cell r="W6"/>
          <cell r="X6">
            <v>1500000</v>
          </cell>
          <cell r="Y6">
            <v>0</v>
          </cell>
          <cell r="Z6">
            <v>1500000</v>
          </cell>
          <cell r="AA6">
            <v>0</v>
          </cell>
          <cell r="AB6" t="str">
            <v>Rozpočet IT</v>
          </cell>
          <cell r="AC6" t="str">
            <v>ANO</v>
          </cell>
          <cell r="AD6">
            <v>0</v>
          </cell>
          <cell r="AE6">
            <v>0</v>
          </cell>
          <cell r="AF6">
            <v>-1034346.7400000002</v>
          </cell>
          <cell r="AG6" t="str">
            <v>Nutné k fungování školy</v>
          </cell>
        </row>
        <row r="7">
          <cell r="B7">
            <v>141</v>
          </cell>
          <cell r="C7" t="str">
            <v>Aplikace</v>
          </cell>
          <cell r="D7" t="str">
            <v>Licence</v>
          </cell>
          <cell r="E7" t="str">
            <v>Adobe - obnova licence - 31 stálých licencí</v>
          </cell>
          <cell r="F7" t="str">
            <v>E</v>
          </cell>
          <cell r="G7" t="str">
            <v>Mandatorní</v>
          </cell>
          <cell r="H7">
            <v>220115.45600000001</v>
          </cell>
          <cell r="I7">
            <v>300000</v>
          </cell>
          <cell r="J7">
            <v>0</v>
          </cell>
          <cell r="K7">
            <v>103558.92000000001</v>
          </cell>
          <cell r="L7">
            <v>200104.95999999999</v>
          </cell>
          <cell r="M7">
            <v>473406.44999999995</v>
          </cell>
          <cell r="N7">
            <v>-273301.49</v>
          </cell>
          <cell r="O7"/>
          <cell r="P7">
            <v>0</v>
          </cell>
          <cell r="Q7">
            <v>250000</v>
          </cell>
          <cell r="R7">
            <v>300000</v>
          </cell>
          <cell r="S7">
            <v>473406.44999999995</v>
          </cell>
          <cell r="T7">
            <v>-173406.44999999995</v>
          </cell>
          <cell r="U7">
            <v>-346812.89999999991</v>
          </cell>
          <cell r="V7">
            <v>-173406.44999999995</v>
          </cell>
          <cell r="W7"/>
          <cell r="X7">
            <v>300000</v>
          </cell>
          <cell r="Y7">
            <v>0</v>
          </cell>
          <cell r="Z7">
            <v>300000</v>
          </cell>
          <cell r="AA7">
            <v>0</v>
          </cell>
          <cell r="AB7" t="str">
            <v>Rozpočet IT</v>
          </cell>
          <cell r="AC7" t="str">
            <v>ANO</v>
          </cell>
          <cell r="AD7">
            <v>300000</v>
          </cell>
          <cell r="AE7">
            <v>200104.95999999999</v>
          </cell>
          <cell r="AF7">
            <v>-446707.93999999994</v>
          </cell>
          <cell r="AG7" t="str">
            <v>Adobe používají ateliéry a pedagogové</v>
          </cell>
        </row>
        <row r="8">
          <cell r="B8">
            <v>142</v>
          </cell>
          <cell r="C8" t="str">
            <v>Aplikace</v>
          </cell>
          <cell r="D8" t="str">
            <v>Licence</v>
          </cell>
          <cell r="E8" t="str">
            <v>Corel - obnova licence / patřil AMA- nebude obnovena/</v>
          </cell>
          <cell r="F8" t="str">
            <v>E</v>
          </cell>
          <cell r="G8" t="str">
            <v>Mandatorní</v>
          </cell>
          <cell r="H8">
            <v>0</v>
          </cell>
          <cell r="I8">
            <v>20000</v>
          </cell>
          <cell r="J8">
            <v>0</v>
          </cell>
          <cell r="K8">
            <v>20000</v>
          </cell>
          <cell r="L8">
            <v>0</v>
          </cell>
          <cell r="M8">
            <v>0</v>
          </cell>
          <cell r="N8">
            <v>0</v>
          </cell>
          <cell r="O8"/>
          <cell r="P8">
            <v>0</v>
          </cell>
          <cell r="Q8">
            <v>25000</v>
          </cell>
          <cell r="R8">
            <v>20000</v>
          </cell>
          <cell r="S8">
            <v>0</v>
          </cell>
          <cell r="T8">
            <v>20000</v>
          </cell>
          <cell r="U8">
            <v>40000</v>
          </cell>
          <cell r="V8">
            <v>20000</v>
          </cell>
          <cell r="W8"/>
          <cell r="X8">
            <v>20000</v>
          </cell>
          <cell r="Y8">
            <v>0</v>
          </cell>
          <cell r="Z8">
            <v>20000</v>
          </cell>
          <cell r="AA8">
            <v>0</v>
          </cell>
          <cell r="AB8" t="str">
            <v>Rozpočet IT</v>
          </cell>
          <cell r="AC8" t="str">
            <v>ANO</v>
          </cell>
          <cell r="AD8">
            <v>20000</v>
          </cell>
          <cell r="AE8">
            <v>0</v>
          </cell>
          <cell r="AF8">
            <v>20000</v>
          </cell>
          <cell r="AG8" t="str">
            <v>Používá ALMA</v>
          </cell>
        </row>
        <row r="9">
          <cell r="B9">
            <v>143</v>
          </cell>
          <cell r="C9" t="str">
            <v>Aplikace</v>
          </cell>
          <cell r="D9" t="str">
            <v>Licence</v>
          </cell>
          <cell r="E9" t="str">
            <v>Extensis Portfolio - obnova licence - p.Dětinský /omezené využívání - cca 5 administrátorů/</v>
          </cell>
          <cell r="F9" t="str">
            <v>E</v>
          </cell>
          <cell r="G9" t="str">
            <v>Mandatorní</v>
          </cell>
          <cell r="H9">
            <v>129719.26000000002</v>
          </cell>
          <cell r="I9">
            <v>130000</v>
          </cell>
          <cell r="J9">
            <v>0</v>
          </cell>
          <cell r="K9">
            <v>9665.5</v>
          </cell>
          <cell r="L9">
            <v>117926.6</v>
          </cell>
          <cell r="M9">
            <v>118791.75</v>
          </cell>
          <cell r="N9">
            <v>-865.14999999999418</v>
          </cell>
          <cell r="O9"/>
          <cell r="P9">
            <v>0</v>
          </cell>
          <cell r="Q9">
            <v>130000</v>
          </cell>
          <cell r="R9">
            <v>130000</v>
          </cell>
          <cell r="S9">
            <v>118791.75</v>
          </cell>
          <cell r="T9">
            <v>11208.25</v>
          </cell>
          <cell r="U9">
            <v>22416.5</v>
          </cell>
          <cell r="V9">
            <v>11208.25</v>
          </cell>
          <cell r="W9"/>
          <cell r="X9">
            <v>220000</v>
          </cell>
          <cell r="Y9">
            <v>0</v>
          </cell>
          <cell r="Z9">
            <v>220000</v>
          </cell>
          <cell r="AA9">
            <v>0</v>
          </cell>
          <cell r="AB9" t="str">
            <v>Rozpočet IT</v>
          </cell>
          <cell r="AC9" t="str">
            <v>ANO</v>
          </cell>
          <cell r="AD9">
            <v>220000</v>
          </cell>
          <cell r="AE9">
            <v>117926.6</v>
          </cell>
          <cell r="AF9">
            <v>10343.100000000006</v>
          </cell>
          <cell r="AG9" t="str">
            <v>Multimediální archiv - Radek Dětinský, ateliéry, pracoviště</v>
          </cell>
        </row>
        <row r="10">
          <cell r="B10">
            <v>149</v>
          </cell>
          <cell r="C10" t="str">
            <v>Aplikace</v>
          </cell>
          <cell r="D10" t="str">
            <v>Licence</v>
          </cell>
          <cell r="E10" t="str">
            <v>Ostatní drobné SW</v>
          </cell>
          <cell r="F10" t="str">
            <v>N</v>
          </cell>
          <cell r="G10" t="str">
            <v>Mandatorní</v>
          </cell>
          <cell r="H10">
            <v>19789.14256</v>
          </cell>
          <cell r="I10">
            <v>25000</v>
          </cell>
          <cell r="J10">
            <v>0</v>
          </cell>
          <cell r="K10">
            <v>-65337.590649999984</v>
          </cell>
          <cell r="L10">
            <v>17990.1296</v>
          </cell>
          <cell r="M10">
            <v>109143.80284999999</v>
          </cell>
          <cell r="N10">
            <v>-91153.673249999993</v>
          </cell>
          <cell r="O10"/>
          <cell r="P10">
            <v>1</v>
          </cell>
          <cell r="Q10">
            <v>50000</v>
          </cell>
          <cell r="R10">
            <v>25000</v>
          </cell>
          <cell r="S10">
            <v>109143.80284999999</v>
          </cell>
          <cell r="T10">
            <v>-84143.802849999993</v>
          </cell>
          <cell r="U10">
            <v>-168287.60569999999</v>
          </cell>
          <cell r="V10">
            <v>-84143.802849999993</v>
          </cell>
          <cell r="W10"/>
          <cell r="X10">
            <v>50000</v>
          </cell>
          <cell r="Y10">
            <v>0</v>
          </cell>
          <cell r="Z10">
            <v>50000</v>
          </cell>
          <cell r="AA10">
            <v>0</v>
          </cell>
          <cell r="AB10" t="str">
            <v>Rozpočet IT</v>
          </cell>
          <cell r="AC10" t="str">
            <v>ANO</v>
          </cell>
          <cell r="AD10">
            <v>45000</v>
          </cell>
          <cell r="AE10">
            <v>17990.1296</v>
          </cell>
          <cell r="AF10">
            <v>-175297.47609999997</v>
          </cell>
          <cell r="AG10" t="str">
            <v>Bezpečnost. QTS, TAGRA atd.</v>
          </cell>
        </row>
        <row r="11">
          <cell r="B11">
            <v>190</v>
          </cell>
          <cell r="C11"/>
          <cell r="D11"/>
          <cell r="E11" t="str">
            <v>Ostatní (Aplikace)</v>
          </cell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/>
          <cell r="P11"/>
          <cell r="Q11"/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/>
          <cell r="X11"/>
          <cell r="Y11"/>
          <cell r="Z11"/>
          <cell r="AA11"/>
          <cell r="AB11"/>
          <cell r="AC11"/>
          <cell r="AD11"/>
          <cell r="AE11"/>
          <cell r="AF11">
            <v>0</v>
          </cell>
          <cell r="AG11" t="str">
            <v>propojení mezi systémem IS stag, karetním systémem a AD + navazujicí projekt "propoj s magionem"</v>
          </cell>
        </row>
        <row r="12">
          <cell r="B12">
            <v>210</v>
          </cell>
          <cell r="C12" t="str">
            <v>Bezpečnost</v>
          </cell>
          <cell r="D12" t="str">
            <v>LAN</v>
          </cell>
          <cell r="E12" t="str">
            <v>Kyberbezpečnost (segmentace sítě / re-konfigurace AD / školení / centrální logování)</v>
          </cell>
          <cell r="F12" t="str">
            <v>N</v>
          </cell>
          <cell r="G12" t="str">
            <v>Rozvojový</v>
          </cell>
          <cell r="H12">
            <v>220000.00000000003</v>
          </cell>
          <cell r="I12">
            <v>200000</v>
          </cell>
          <cell r="J12">
            <v>0</v>
          </cell>
          <cell r="K12">
            <v>-98861.38</v>
          </cell>
          <cell r="L12">
            <v>200000</v>
          </cell>
          <cell r="M12">
            <v>0</v>
          </cell>
          <cell r="N12">
            <v>200000</v>
          </cell>
          <cell r="O12"/>
          <cell r="P12">
            <v>1</v>
          </cell>
          <cell r="Q12">
            <v>300000</v>
          </cell>
          <cell r="R12">
            <v>200000</v>
          </cell>
          <cell r="S12">
            <v>0</v>
          </cell>
          <cell r="T12">
            <v>200000</v>
          </cell>
          <cell r="U12">
            <v>400000</v>
          </cell>
          <cell r="V12">
            <v>200000</v>
          </cell>
          <cell r="W12"/>
          <cell r="X12">
            <v>1000000</v>
          </cell>
          <cell r="Y12">
            <v>0</v>
          </cell>
          <cell r="Z12">
            <v>800000</v>
          </cell>
          <cell r="AA12">
            <v>380000</v>
          </cell>
          <cell r="AB12" t="str">
            <v>CPR-KYBER22</v>
          </cell>
          <cell r="AC12" t="str">
            <v>ANO</v>
          </cell>
          <cell r="AD12">
            <v>200000</v>
          </cell>
          <cell r="AE12">
            <v>72600</v>
          </cell>
          <cell r="AF12">
            <v>400000</v>
          </cell>
          <cell r="AG12"/>
        </row>
        <row r="13">
          <cell r="B13">
            <v>211</v>
          </cell>
          <cell r="C13" t="str">
            <v>Sítě</v>
          </cell>
          <cell r="D13" t="str">
            <v>LAN</v>
          </cell>
          <cell r="E13" t="str">
            <v>Přechod na Cisco VPN z SSTP - licence a implementace (bezpečnost)</v>
          </cell>
          <cell r="F13" t="str">
            <v>N</v>
          </cell>
          <cell r="G13" t="str">
            <v>Rozvojový</v>
          </cell>
          <cell r="H13">
            <v>0</v>
          </cell>
          <cell r="I13">
            <v>45000</v>
          </cell>
          <cell r="J13">
            <v>0</v>
          </cell>
          <cell r="K13">
            <v>37861</v>
          </cell>
          <cell r="L13">
            <v>0</v>
          </cell>
          <cell r="M13">
            <v>0</v>
          </cell>
          <cell r="N13">
            <v>0</v>
          </cell>
          <cell r="O13"/>
          <cell r="P13">
            <v>0</v>
          </cell>
          <cell r="Q13">
            <v>50000</v>
          </cell>
          <cell r="R13">
            <v>45000</v>
          </cell>
          <cell r="S13">
            <v>0</v>
          </cell>
          <cell r="T13">
            <v>45000</v>
          </cell>
          <cell r="U13">
            <v>90000</v>
          </cell>
          <cell r="V13">
            <v>45000</v>
          </cell>
          <cell r="W13"/>
          <cell r="X13">
            <v>50000</v>
          </cell>
          <cell r="Y13">
            <v>0</v>
          </cell>
          <cell r="Z13">
            <v>50000</v>
          </cell>
          <cell r="AA13">
            <v>0</v>
          </cell>
          <cell r="AB13" t="str">
            <v>Rozpočet IT</v>
          </cell>
          <cell r="AC13" t="str">
            <v>ANO</v>
          </cell>
          <cell r="AD13">
            <v>45000</v>
          </cell>
          <cell r="AE13" t="e">
            <v>#N/A</v>
          </cell>
          <cell r="AF13" t="e">
            <v>#N/A</v>
          </cell>
          <cell r="AG13"/>
        </row>
        <row r="14">
          <cell r="B14">
            <v>220</v>
          </cell>
          <cell r="C14" t="str">
            <v>Bezpečnost</v>
          </cell>
          <cell r="D14" t="str">
            <v>Podpora</v>
          </cell>
          <cell r="E14" t="str">
            <v>MKB Smlouva konzultace pří řízení IT – leden - prosinec</v>
          </cell>
          <cell r="F14" t="str">
            <v>JZ</v>
          </cell>
          <cell r="G14" t="str">
            <v>Mandatorní</v>
          </cell>
          <cell r="H14">
            <v>220000.00000000003</v>
          </cell>
          <cell r="I14">
            <v>50000</v>
          </cell>
          <cell r="J14">
            <v>0</v>
          </cell>
          <cell r="K14">
            <v>50000</v>
          </cell>
          <cell r="L14">
            <v>200000</v>
          </cell>
          <cell r="M14">
            <v>0</v>
          </cell>
          <cell r="N14">
            <v>200000</v>
          </cell>
          <cell r="O14"/>
          <cell r="P14">
            <v>0</v>
          </cell>
          <cell r="Q14">
            <v>200000</v>
          </cell>
          <cell r="R14">
            <v>50000</v>
          </cell>
          <cell r="S14">
            <v>0</v>
          </cell>
          <cell r="T14">
            <v>50000</v>
          </cell>
          <cell r="U14">
            <v>100000</v>
          </cell>
          <cell r="V14">
            <v>50000</v>
          </cell>
          <cell r="W14"/>
          <cell r="X14">
            <v>200000</v>
          </cell>
          <cell r="Y14">
            <v>0</v>
          </cell>
          <cell r="Z14">
            <v>200000</v>
          </cell>
          <cell r="AA14">
            <v>0</v>
          </cell>
          <cell r="AB14" t="str">
            <v>Rozpočet IT</v>
          </cell>
          <cell r="AC14" t="str">
            <v>NE</v>
          </cell>
          <cell r="AD14">
            <v>0</v>
          </cell>
          <cell r="AE14">
            <v>0</v>
          </cell>
          <cell r="AF14">
            <v>0</v>
          </cell>
          <cell r="AG14" t="str">
            <v>Poradenství v oblati vedení IT</v>
          </cell>
        </row>
        <row r="15">
          <cell r="B15">
            <v>290</v>
          </cell>
          <cell r="C15"/>
          <cell r="D15"/>
          <cell r="E15" t="str">
            <v>Ostatní (Bezpečnost)</v>
          </cell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/>
          <cell r="M15">
            <v>1900</v>
          </cell>
          <cell r="N15">
            <v>-1900</v>
          </cell>
          <cell r="O15"/>
          <cell r="P15"/>
          <cell r="Q15"/>
          <cell r="R15">
            <v>0</v>
          </cell>
          <cell r="S15">
            <v>1900</v>
          </cell>
          <cell r="T15">
            <v>-1900</v>
          </cell>
          <cell r="U15">
            <v>-3800</v>
          </cell>
          <cell r="V15">
            <v>-1900</v>
          </cell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</row>
        <row r="16">
          <cell r="B16">
            <v>310</v>
          </cell>
          <cell r="C16" t="str">
            <v>Infrastruktura</v>
          </cell>
          <cell r="D16" t="str">
            <v>Hlavní budova</v>
          </cell>
          <cell r="E16" t="str">
            <v>Servery (disky, moduly, ap.)</v>
          </cell>
          <cell r="F16" t="str">
            <v>N</v>
          </cell>
          <cell r="G16" t="str">
            <v>Mandatorní</v>
          </cell>
          <cell r="H16">
            <v>110000.00000000001</v>
          </cell>
          <cell r="I16">
            <v>0</v>
          </cell>
          <cell r="J16">
            <v>0</v>
          </cell>
          <cell r="K16">
            <v>-1535.13</v>
          </cell>
          <cell r="L16">
            <v>100000</v>
          </cell>
          <cell r="M16">
            <v>1945</v>
          </cell>
          <cell r="N16">
            <v>98055</v>
          </cell>
          <cell r="O16"/>
          <cell r="P16">
            <v>1</v>
          </cell>
          <cell r="Q16">
            <v>1000000</v>
          </cell>
          <cell r="R16">
            <v>0</v>
          </cell>
          <cell r="S16">
            <v>1945</v>
          </cell>
          <cell r="T16">
            <v>-1945</v>
          </cell>
          <cell r="U16">
            <v>-3890</v>
          </cell>
          <cell r="V16">
            <v>-1945</v>
          </cell>
          <cell r="W16"/>
          <cell r="X16">
            <v>150000</v>
          </cell>
          <cell r="Y16">
            <v>0</v>
          </cell>
          <cell r="Z16">
            <v>100000</v>
          </cell>
          <cell r="AA16">
            <v>200000</v>
          </cell>
          <cell r="AB16" t="str">
            <v>NPO</v>
          </cell>
          <cell r="AC16" t="str">
            <v>ANO</v>
          </cell>
          <cell r="AD16">
            <v>135000</v>
          </cell>
          <cell r="AE16">
            <v>976844.18</v>
          </cell>
          <cell r="AF16">
            <v>-841844.18</v>
          </cell>
          <cell r="AG16" t="str">
            <v>RAM 60k, Disk 6k, modul 10k</v>
          </cell>
        </row>
        <row r="17">
          <cell r="B17">
            <v>311</v>
          </cell>
          <cell r="C17" t="str">
            <v>Infrastrukura</v>
          </cell>
          <cell r="D17"/>
          <cell r="E17" t="str">
            <v>switche (switche + příslušenství)</v>
          </cell>
          <cell r="F17"/>
          <cell r="G17"/>
          <cell r="H17">
            <v>0</v>
          </cell>
          <cell r="I17"/>
          <cell r="J17">
            <v>0</v>
          </cell>
          <cell r="K17"/>
          <cell r="L17">
            <v>0</v>
          </cell>
          <cell r="M17">
            <v>0</v>
          </cell>
          <cell r="N17">
            <v>0</v>
          </cell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</row>
        <row r="18">
          <cell r="B18">
            <v>320</v>
          </cell>
          <cell r="C18" t="str">
            <v>Infrastruktura</v>
          </cell>
          <cell r="D18" t="str">
            <v>Disková pole</v>
          </cell>
          <cell r="E18" t="str">
            <v>Výměna  disků v NAS  (5 náhradních - většina 5 let stará / 12T pod zárukou, 4T nejvíce)</v>
          </cell>
          <cell r="F18" t="str">
            <v>N</v>
          </cell>
          <cell r="G18" t="str">
            <v>Mandatorní</v>
          </cell>
          <cell r="H18">
            <v>110000.00000000001</v>
          </cell>
          <cell r="I18">
            <v>120000</v>
          </cell>
          <cell r="J18">
            <v>0</v>
          </cell>
          <cell r="K18">
            <v>41260</v>
          </cell>
          <cell r="L18">
            <v>100000</v>
          </cell>
          <cell r="M18">
            <v>86792</v>
          </cell>
          <cell r="N18">
            <v>13208</v>
          </cell>
          <cell r="O18"/>
          <cell r="P18">
            <v>1</v>
          </cell>
          <cell r="Q18">
            <v>120000</v>
          </cell>
          <cell r="R18">
            <v>120000</v>
          </cell>
          <cell r="S18">
            <v>86792</v>
          </cell>
          <cell r="T18">
            <v>33208</v>
          </cell>
          <cell r="U18">
            <v>66416</v>
          </cell>
          <cell r="V18">
            <v>33208</v>
          </cell>
          <cell r="W18"/>
          <cell r="X18">
            <v>100000</v>
          </cell>
          <cell r="Y18">
            <v>0</v>
          </cell>
          <cell r="Z18">
            <v>0</v>
          </cell>
          <cell r="AA18">
            <v>100000</v>
          </cell>
          <cell r="AB18" t="str">
            <v>NPO</v>
          </cell>
          <cell r="AC18" t="str">
            <v>ANO</v>
          </cell>
          <cell r="AD18">
            <v>90000</v>
          </cell>
          <cell r="AE18">
            <v>76487</v>
          </cell>
          <cell r="AF18">
            <v>13513</v>
          </cell>
          <cell r="AG18" t="str">
            <v>Výměna pro VVP</v>
          </cell>
        </row>
        <row r="19">
          <cell r="B19">
            <v>321</v>
          </cell>
          <cell r="C19" t="str">
            <v>Infrastruktura</v>
          </cell>
          <cell r="D19"/>
          <cell r="E19" t="str">
            <v xml:space="preserve">Náhrada NAS </v>
          </cell>
          <cell r="F19"/>
          <cell r="G19" t="str">
            <v>Mandatorní</v>
          </cell>
          <cell r="H19">
            <v>720000</v>
          </cell>
          <cell r="I19">
            <v>320000</v>
          </cell>
          <cell r="J19">
            <v>0</v>
          </cell>
          <cell r="K19">
            <v>279585.15999999997</v>
          </cell>
          <cell r="L19">
            <v>0</v>
          </cell>
          <cell r="M19">
            <v>277120.25999999995</v>
          </cell>
          <cell r="N19">
            <v>-277120.25999999995</v>
          </cell>
          <cell r="O19"/>
          <cell r="P19">
            <v>1</v>
          </cell>
          <cell r="Q19">
            <v>320000</v>
          </cell>
          <cell r="R19">
            <v>320000</v>
          </cell>
          <cell r="S19">
            <v>277120.25999999995</v>
          </cell>
          <cell r="T19">
            <v>42879.740000000049</v>
          </cell>
          <cell r="U19">
            <v>85759.480000000098</v>
          </cell>
          <cell r="V19">
            <v>42879.740000000049</v>
          </cell>
          <cell r="W19"/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/>
          <cell r="AF19">
            <v>0</v>
          </cell>
          <cell r="AG19"/>
        </row>
        <row r="20">
          <cell r="B20">
            <v>330</v>
          </cell>
          <cell r="C20"/>
          <cell r="D20"/>
          <cell r="E20" t="str">
            <v>Serverovny</v>
          </cell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-2352</v>
          </cell>
          <cell r="L20">
            <v>0</v>
          </cell>
          <cell r="M20">
            <v>810071</v>
          </cell>
          <cell r="N20">
            <v>-810071</v>
          </cell>
          <cell r="O20"/>
          <cell r="P20"/>
          <cell r="Q20"/>
          <cell r="R20">
            <v>0</v>
          </cell>
          <cell r="S20">
            <v>810071</v>
          </cell>
          <cell r="T20">
            <v>-810071</v>
          </cell>
          <cell r="U20">
            <v>-1620142</v>
          </cell>
          <cell r="V20">
            <v>-810071</v>
          </cell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</row>
        <row r="21">
          <cell r="B21">
            <v>331</v>
          </cell>
          <cell r="C21" t="str">
            <v>Infrastruktura</v>
          </cell>
          <cell r="D21"/>
          <cell r="E21" t="str">
            <v>Záložní serverovna</v>
          </cell>
          <cell r="F21"/>
          <cell r="G21" t="str">
            <v>Rozvojový</v>
          </cell>
          <cell r="H21">
            <v>0</v>
          </cell>
          <cell r="I21">
            <v>30000</v>
          </cell>
          <cell r="J21">
            <v>0</v>
          </cell>
          <cell r="K21">
            <v>30000</v>
          </cell>
          <cell r="L21">
            <v>0</v>
          </cell>
          <cell r="M21">
            <v>0</v>
          </cell>
          <cell r="N21">
            <v>0</v>
          </cell>
          <cell r="O21"/>
          <cell r="P21">
            <v>1</v>
          </cell>
          <cell r="Q21">
            <v>30000</v>
          </cell>
          <cell r="R21">
            <v>30000</v>
          </cell>
          <cell r="S21">
            <v>0</v>
          </cell>
          <cell r="T21">
            <v>30000</v>
          </cell>
          <cell r="U21">
            <v>60000</v>
          </cell>
          <cell r="V21">
            <v>30000</v>
          </cell>
          <cell r="W21"/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/>
          <cell r="AF21">
            <v>0</v>
          </cell>
          <cell r="AG21"/>
        </row>
        <row r="22">
          <cell r="B22">
            <v>332</v>
          </cell>
          <cell r="C22" t="str">
            <v>Infrastruktura</v>
          </cell>
          <cell r="D22"/>
          <cell r="E22" t="str">
            <v>prodlužování záruk - infrastruktura (servery atd.)</v>
          </cell>
          <cell r="F22"/>
          <cell r="G22" t="str">
            <v>Mandatorní</v>
          </cell>
          <cell r="H22">
            <v>0</v>
          </cell>
          <cell r="I22"/>
          <cell r="J22">
            <v>0</v>
          </cell>
          <cell r="K22"/>
          <cell r="L22">
            <v>0</v>
          </cell>
          <cell r="M22">
            <v>0</v>
          </cell>
          <cell r="N22">
            <v>0</v>
          </cell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</row>
        <row r="23">
          <cell r="B23">
            <v>341</v>
          </cell>
          <cell r="C23" t="str">
            <v>Aplikace</v>
          </cell>
          <cell r="D23" t="str">
            <v>Licence</v>
          </cell>
          <cell r="E23" t="str">
            <v>McAfee na NASy (dokup licencí)</v>
          </cell>
          <cell r="F23" t="str">
            <v>N</v>
          </cell>
          <cell r="G23" t="str">
            <v>Rozvojový</v>
          </cell>
          <cell r="H23">
            <v>11000</v>
          </cell>
          <cell r="I23">
            <v>0</v>
          </cell>
          <cell r="J23">
            <v>0</v>
          </cell>
          <cell r="K23">
            <v>0</v>
          </cell>
          <cell r="L23">
            <v>10000</v>
          </cell>
          <cell r="M23">
            <v>0</v>
          </cell>
          <cell r="N23">
            <v>10000</v>
          </cell>
          <cell r="O23"/>
          <cell r="P23" t="str">
            <v>S</v>
          </cell>
          <cell r="Q23">
            <v>10000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10000</v>
          </cell>
          <cell r="X23">
            <v>10000</v>
          </cell>
          <cell r="Y23">
            <v>0</v>
          </cell>
          <cell r="Z23">
            <v>10000</v>
          </cell>
          <cell r="AA23">
            <v>0</v>
          </cell>
          <cell r="AB23" t="str">
            <v>Rozpočet IT</v>
          </cell>
          <cell r="AC23" t="str">
            <v>ANO</v>
          </cell>
          <cell r="AD23">
            <v>10000</v>
          </cell>
          <cell r="AE23">
            <v>0</v>
          </cell>
          <cell r="AF23">
            <v>10000</v>
          </cell>
          <cell r="AG23" t="str">
            <v>Používájí NAS školy</v>
          </cell>
        </row>
        <row r="24">
          <cell r="B24">
            <v>342</v>
          </cell>
          <cell r="C24" t="str">
            <v>Aplikace</v>
          </cell>
          <cell r="D24" t="str">
            <v>Licence</v>
          </cell>
          <cell r="E24" t="str">
            <v>Symantec a Veritas Acronis a VIP - obnova licence</v>
          </cell>
          <cell r="F24" t="str">
            <v>E</v>
          </cell>
          <cell r="G24" t="str">
            <v>Mandatorní</v>
          </cell>
          <cell r="H24">
            <v>330000</v>
          </cell>
          <cell r="I24">
            <v>350000</v>
          </cell>
          <cell r="J24">
            <v>0</v>
          </cell>
          <cell r="K24">
            <v>-16630</v>
          </cell>
          <cell r="L24">
            <v>300000</v>
          </cell>
          <cell r="M24">
            <v>52898.78</v>
          </cell>
          <cell r="N24">
            <v>247101.22</v>
          </cell>
          <cell r="O24"/>
          <cell r="P24">
            <v>0</v>
          </cell>
          <cell r="Q24">
            <v>350000</v>
          </cell>
          <cell r="R24">
            <v>350000</v>
          </cell>
          <cell r="S24">
            <v>52898.78</v>
          </cell>
          <cell r="T24">
            <v>297101.21999999997</v>
          </cell>
          <cell r="U24">
            <v>594202.43999999994</v>
          </cell>
          <cell r="V24">
            <v>297101.21999999997</v>
          </cell>
          <cell r="W24"/>
          <cell r="X24">
            <v>180000</v>
          </cell>
          <cell r="Y24">
            <v>0</v>
          </cell>
          <cell r="Z24">
            <v>180000</v>
          </cell>
          <cell r="AA24">
            <v>0</v>
          </cell>
          <cell r="AB24" t="str">
            <v>Rozpočet IT</v>
          </cell>
          <cell r="AC24" t="str">
            <v>ANO</v>
          </cell>
          <cell r="AD24">
            <v>180000</v>
          </cell>
          <cell r="AE24">
            <v>151.56</v>
          </cell>
          <cell r="AF24">
            <v>179848.44</v>
          </cell>
          <cell r="AG24" t="str">
            <v>Bezpečnostní, antivirový a zálohovací software</v>
          </cell>
        </row>
        <row r="25">
          <cell r="B25">
            <v>343</v>
          </cell>
          <cell r="C25" t="str">
            <v>Aplikace</v>
          </cell>
          <cell r="D25" t="str">
            <v>Licence</v>
          </cell>
          <cell r="E25" t="str">
            <v>Vmware - obnova licence jednou za 3 roky! Obnoveno 2024.</v>
          </cell>
          <cell r="F25" t="str">
            <v>E</v>
          </cell>
          <cell r="G25" t="str">
            <v>Mandatorní</v>
          </cell>
          <cell r="H25">
            <v>165000</v>
          </cell>
          <cell r="I25">
            <v>50000</v>
          </cell>
          <cell r="J25">
            <v>0</v>
          </cell>
          <cell r="K25">
            <v>50000</v>
          </cell>
          <cell r="L25">
            <v>150000</v>
          </cell>
          <cell r="M25">
            <v>409676.96</v>
          </cell>
          <cell r="N25">
            <v>-259676.96000000002</v>
          </cell>
          <cell r="O25"/>
          <cell r="P25">
            <v>0</v>
          </cell>
          <cell r="Q25">
            <v>500000</v>
          </cell>
          <cell r="R25">
            <v>50000</v>
          </cell>
          <cell r="S25">
            <v>409676.96</v>
          </cell>
          <cell r="T25">
            <v>-359676.96</v>
          </cell>
          <cell r="U25">
            <v>-719353.92</v>
          </cell>
          <cell r="V25">
            <v>-359676.96</v>
          </cell>
          <cell r="W25"/>
          <cell r="X25">
            <v>90000</v>
          </cell>
          <cell r="Y25">
            <v>0</v>
          </cell>
          <cell r="Z25">
            <v>90000</v>
          </cell>
          <cell r="AA25">
            <v>0</v>
          </cell>
          <cell r="AB25" t="str">
            <v>Rozpočet IT</v>
          </cell>
          <cell r="AC25" t="str">
            <v>ANO</v>
          </cell>
          <cell r="AD25">
            <v>90000</v>
          </cell>
          <cell r="AE25">
            <v>115105.60000000001</v>
          </cell>
          <cell r="AF25">
            <v>-25105.600000000006</v>
          </cell>
          <cell r="AG25" t="str">
            <v>Virtualizace servery</v>
          </cell>
        </row>
        <row r="26">
          <cell r="B26">
            <v>344</v>
          </cell>
          <cell r="C26" t="str">
            <v>Aplikace</v>
          </cell>
          <cell r="D26" t="str">
            <v>Licence</v>
          </cell>
          <cell r="E26" t="str">
            <v>Licence switche cisco</v>
          </cell>
          <cell r="F26"/>
          <cell r="G26" t="str">
            <v>Mandatorní</v>
          </cell>
          <cell r="H26">
            <v>550000</v>
          </cell>
          <cell r="I26">
            <v>870000</v>
          </cell>
          <cell r="J26">
            <v>0</v>
          </cell>
          <cell r="K26">
            <v>-93415.309999999939</v>
          </cell>
          <cell r="L26">
            <v>500000</v>
          </cell>
          <cell r="M26">
            <v>657960.12</v>
          </cell>
          <cell r="N26">
            <v>-157960.12</v>
          </cell>
          <cell r="O26"/>
          <cell r="P26">
            <v>1</v>
          </cell>
          <cell r="Q26">
            <v>870000</v>
          </cell>
          <cell r="R26">
            <v>870000</v>
          </cell>
          <cell r="S26">
            <v>657960.12</v>
          </cell>
          <cell r="T26">
            <v>212039.88</v>
          </cell>
          <cell r="U26">
            <v>424079.76</v>
          </cell>
          <cell r="V26">
            <v>212039.88</v>
          </cell>
          <cell r="W26"/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/>
          <cell r="AF26">
            <v>0</v>
          </cell>
          <cell r="AG26"/>
        </row>
        <row r="27">
          <cell r="B27">
            <v>345</v>
          </cell>
          <cell r="C27" t="str">
            <v>Aplikace</v>
          </cell>
          <cell r="D27" t="str">
            <v>Licence</v>
          </cell>
          <cell r="E27" t="str">
            <v xml:space="preserve">Microsoft - roční obnova licence (nárust ntb/PC) </v>
          </cell>
          <cell r="F27" t="str">
            <v>E</v>
          </cell>
          <cell r="G27" t="str">
            <v>Mandatorní</v>
          </cell>
          <cell r="H27">
            <v>462000.00000000006</v>
          </cell>
          <cell r="I27">
            <v>320000</v>
          </cell>
          <cell r="J27">
            <v>0</v>
          </cell>
          <cell r="K27">
            <v>69421.78</v>
          </cell>
          <cell r="L27">
            <v>420000</v>
          </cell>
          <cell r="M27">
            <v>307963.06999999995</v>
          </cell>
          <cell r="N27">
            <v>112036.93000000005</v>
          </cell>
          <cell r="O27"/>
          <cell r="P27">
            <v>0</v>
          </cell>
          <cell r="Q27">
            <v>330000</v>
          </cell>
          <cell r="R27">
            <v>320000</v>
          </cell>
          <cell r="S27">
            <v>307963.06999999995</v>
          </cell>
          <cell r="T27">
            <v>12036.930000000051</v>
          </cell>
          <cell r="U27">
            <v>24073.860000000102</v>
          </cell>
          <cell r="V27">
            <v>12036.930000000051</v>
          </cell>
          <cell r="W27"/>
          <cell r="X27">
            <v>320000</v>
          </cell>
          <cell r="Y27">
            <v>0</v>
          </cell>
          <cell r="Z27">
            <v>320000</v>
          </cell>
          <cell r="AA27">
            <v>0</v>
          </cell>
          <cell r="AB27" t="str">
            <v>Rozpočet IT</v>
          </cell>
          <cell r="AC27" t="str">
            <v>ANO</v>
          </cell>
          <cell r="AD27">
            <v>320000</v>
          </cell>
          <cell r="AE27">
            <v>284478.26</v>
          </cell>
          <cell r="AF27">
            <v>35521.739999999991</v>
          </cell>
          <cell r="AG27" t="str">
            <v>Použítí pro celou školu Microsoft Windows, Server, Office, atd.</v>
          </cell>
        </row>
        <row r="28">
          <cell r="B28">
            <v>346</v>
          </cell>
          <cell r="C28" t="str">
            <v>Infrastruktura</v>
          </cell>
          <cell r="D28" t="str">
            <v>Podpora</v>
          </cell>
          <cell r="E28" t="str">
            <v>Nagios, Zabbix – Rozšíření funkcí</v>
          </cell>
          <cell r="F28" t="str">
            <v>N</v>
          </cell>
          <cell r="G28" t="str">
            <v>Rozvojový</v>
          </cell>
          <cell r="H28">
            <v>0</v>
          </cell>
          <cell r="I28">
            <v>20000</v>
          </cell>
          <cell r="J28">
            <v>0</v>
          </cell>
          <cell r="K28">
            <v>20000</v>
          </cell>
          <cell r="L28">
            <v>0</v>
          </cell>
          <cell r="M28">
            <v>0</v>
          </cell>
          <cell r="N28">
            <v>0</v>
          </cell>
          <cell r="O28"/>
          <cell r="P28">
            <v>1</v>
          </cell>
          <cell r="Q28">
            <v>50000</v>
          </cell>
          <cell r="R28">
            <v>20000</v>
          </cell>
          <cell r="S28">
            <v>0</v>
          </cell>
          <cell r="T28">
            <v>20000</v>
          </cell>
          <cell r="U28">
            <v>40000</v>
          </cell>
          <cell r="V28">
            <v>20000</v>
          </cell>
          <cell r="W28"/>
          <cell r="X28">
            <v>80000</v>
          </cell>
          <cell r="Y28"/>
          <cell r="Z28">
            <v>80000</v>
          </cell>
          <cell r="AA28">
            <v>0</v>
          </cell>
          <cell r="AB28" t="str">
            <v>Rozpočet IT</v>
          </cell>
          <cell r="AC28" t="str">
            <v>ANO i NE</v>
          </cell>
          <cell r="AD28">
            <v>70000</v>
          </cell>
          <cell r="AE28">
            <v>0</v>
          </cell>
          <cell r="AF28">
            <v>70000</v>
          </cell>
          <cell r="AG28" t="str">
            <v>Nepřetržitý monitoring celé sítě</v>
          </cell>
        </row>
        <row r="29">
          <cell r="B29">
            <v>347</v>
          </cell>
          <cell r="C29" t="str">
            <v>Infrastruktura</v>
          </cell>
          <cell r="D29" t="str">
            <v>Licence</v>
          </cell>
          <cell r="E29" t="str">
            <v>System Center Configuration Manager (nárůst 90 NTB nová technika)</v>
          </cell>
          <cell r="F29" t="str">
            <v>N</v>
          </cell>
          <cell r="G29" t="str">
            <v>Rozvojový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/>
          <cell r="P29" t="str">
            <v>S</v>
          </cell>
          <cell r="Q29">
            <v>100000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150000</v>
          </cell>
          <cell r="X29">
            <v>121000</v>
          </cell>
          <cell r="Y29">
            <v>0</v>
          </cell>
          <cell r="Z29">
            <v>121000</v>
          </cell>
          <cell r="AA29">
            <v>0</v>
          </cell>
          <cell r="AB29" t="str">
            <v>Rozpočet IT</v>
          </cell>
          <cell r="AC29" t="str">
            <v>NE</v>
          </cell>
          <cell r="AD29">
            <v>110000</v>
          </cell>
          <cell r="AE29">
            <v>0</v>
          </cell>
          <cell r="AF29">
            <v>110000</v>
          </cell>
          <cell r="AG29" t="str">
            <v>Bezpečnost. SW vč. implementace</v>
          </cell>
        </row>
        <row r="30">
          <cell r="B30">
            <v>348</v>
          </cell>
          <cell r="C30" t="str">
            <v>Aplikace</v>
          </cell>
          <cell r="D30" t="str">
            <v>Licence</v>
          </cell>
          <cell r="E30" t="str">
            <v>Backupexec - obnova licence</v>
          </cell>
          <cell r="F30"/>
          <cell r="G30"/>
          <cell r="H30">
            <v>0</v>
          </cell>
          <cell r="I30" t="e">
            <v>#N/A</v>
          </cell>
          <cell r="J30">
            <v>0</v>
          </cell>
          <cell r="K30" t="e">
            <v>#N/A</v>
          </cell>
          <cell r="L30">
            <v>0</v>
          </cell>
          <cell r="M30">
            <v>0</v>
          </cell>
          <cell r="N30">
            <v>0</v>
          </cell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</row>
        <row r="31">
          <cell r="B31">
            <v>349</v>
          </cell>
          <cell r="C31" t="str">
            <v>Aplikace</v>
          </cell>
          <cell r="D31" t="str">
            <v>Licence</v>
          </cell>
          <cell r="E31" t="str">
            <v>Fortigate? Upřesnít</v>
          </cell>
          <cell r="F31"/>
          <cell r="G31" t="str">
            <v>Mandatorní</v>
          </cell>
          <cell r="H31">
            <v>0</v>
          </cell>
          <cell r="I31" t="e">
            <v>#N/A</v>
          </cell>
          <cell r="J31">
            <v>0</v>
          </cell>
          <cell r="K31" t="e">
            <v>#N/A</v>
          </cell>
          <cell r="L31">
            <v>0</v>
          </cell>
          <cell r="M31">
            <v>0</v>
          </cell>
          <cell r="N31">
            <v>0</v>
          </cell>
          <cell r="O31"/>
          <cell r="P31">
            <v>1</v>
          </cell>
          <cell r="Q31">
            <v>870000</v>
          </cell>
          <cell r="R31">
            <v>870000</v>
          </cell>
          <cell r="S31">
            <v>0</v>
          </cell>
          <cell r="T31">
            <v>870000</v>
          </cell>
          <cell r="U31" t="e">
            <v>#N/A</v>
          </cell>
          <cell r="V31">
            <v>870000</v>
          </cell>
          <cell r="W31"/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  <cell r="AF31">
            <v>0</v>
          </cell>
          <cell r="AG31"/>
        </row>
        <row r="32">
          <cell r="B32">
            <v>350</v>
          </cell>
          <cell r="C32"/>
          <cell r="D32"/>
          <cell r="E32" t="str">
            <v>Podpora</v>
          </cell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/>
          <cell r="P32"/>
          <cell r="Q32"/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</row>
        <row r="33">
          <cell r="B33">
            <v>360</v>
          </cell>
          <cell r="C33"/>
          <cell r="D33"/>
          <cell r="E33" t="str">
            <v>User management</v>
          </cell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/>
          <cell r="P33"/>
          <cell r="Q33"/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</row>
        <row r="34">
          <cell r="B34">
            <v>370</v>
          </cell>
          <cell r="C34"/>
          <cell r="D34"/>
          <cell r="E34" t="str">
            <v>kabeláž, zasíťování</v>
          </cell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/>
          <cell r="P34"/>
          <cell r="Q34"/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</row>
        <row r="35">
          <cell r="B35">
            <v>390</v>
          </cell>
          <cell r="C35" t="str">
            <v>Sítě</v>
          </cell>
          <cell r="D35" t="str">
            <v>Hlavní budova</v>
          </cell>
          <cell r="E35" t="str">
            <v>Zásuvky + předělání centrální síťového bodu rack (technický tunel)</v>
          </cell>
          <cell r="F35" t="str">
            <v>N</v>
          </cell>
          <cell r="G35" t="str">
            <v>Rozvojový</v>
          </cell>
          <cell r="H35">
            <v>33000</v>
          </cell>
          <cell r="I35">
            <v>0</v>
          </cell>
          <cell r="J35">
            <v>0</v>
          </cell>
          <cell r="K35">
            <v>-2896.4500000000003</v>
          </cell>
          <cell r="L35">
            <v>30000</v>
          </cell>
          <cell r="M35">
            <v>14481.95</v>
          </cell>
          <cell r="N35">
            <v>15518.05</v>
          </cell>
          <cell r="O35"/>
          <cell r="P35" t="str">
            <v>S</v>
          </cell>
          <cell r="Q35">
            <v>20000</v>
          </cell>
          <cell r="R35">
            <v>0</v>
          </cell>
          <cell r="S35">
            <v>14481.95</v>
          </cell>
          <cell r="T35">
            <v>-14481.95</v>
          </cell>
          <cell r="U35">
            <v>-28963.9</v>
          </cell>
          <cell r="V35">
            <v>-14481.95</v>
          </cell>
          <cell r="W35">
            <v>40000</v>
          </cell>
          <cell r="X35">
            <v>80000</v>
          </cell>
          <cell r="Y35">
            <v>0</v>
          </cell>
          <cell r="Z35">
            <v>80000</v>
          </cell>
          <cell r="AA35">
            <v>0</v>
          </cell>
          <cell r="AB35" t="str">
            <v>Rozpočet IT</v>
          </cell>
          <cell r="AC35" t="str">
            <v>ANO</v>
          </cell>
          <cell r="AD35">
            <v>40000</v>
          </cell>
          <cell r="AE35">
            <v>8485.3700000000008</v>
          </cell>
          <cell r="AF35">
            <v>31514.629999999997</v>
          </cell>
          <cell r="AG35" t="str">
            <v xml:space="preserve">Vytvoření nových zásuvek, NM 2, </v>
          </cell>
        </row>
        <row r="36">
          <cell r="B36">
            <v>410</v>
          </cell>
          <cell r="C36" t="str">
            <v>Koncová zařízení</v>
          </cell>
          <cell r="D36" t="str">
            <v>Spotřební materiál</v>
          </cell>
          <cell r="E36" t="str">
            <v>Periferie (klávesnice, redukce, adaptéry, ap.)</v>
          </cell>
          <cell r="F36" t="str">
            <v>N</v>
          </cell>
          <cell r="G36" t="str">
            <v>Mandatorní</v>
          </cell>
          <cell r="H36">
            <v>55000.000000000007</v>
          </cell>
          <cell r="I36">
            <v>20000</v>
          </cell>
          <cell r="J36">
            <v>0</v>
          </cell>
          <cell r="K36">
            <v>-15991.900000000001</v>
          </cell>
          <cell r="L36">
            <v>50000</v>
          </cell>
          <cell r="M36">
            <v>30415.200000000001</v>
          </cell>
          <cell r="N36">
            <v>19584.8</v>
          </cell>
          <cell r="O36"/>
          <cell r="P36">
            <v>1</v>
          </cell>
          <cell r="Q36">
            <v>30000</v>
          </cell>
          <cell r="R36">
            <v>20000</v>
          </cell>
          <cell r="S36">
            <v>30415.200000000001</v>
          </cell>
          <cell r="T36">
            <v>-10415.200000000001</v>
          </cell>
          <cell r="U36">
            <v>-20830.400000000001</v>
          </cell>
          <cell r="V36">
            <v>-10415.200000000001</v>
          </cell>
          <cell r="W36"/>
          <cell r="X36">
            <v>30000</v>
          </cell>
          <cell r="Y36">
            <v>5000</v>
          </cell>
          <cell r="Z36">
            <v>30000</v>
          </cell>
          <cell r="AA36">
            <v>0</v>
          </cell>
          <cell r="AB36" t="str">
            <v>Rozpočet IT</v>
          </cell>
          <cell r="AC36" t="str">
            <v>ANO</v>
          </cell>
          <cell r="AD36">
            <v>20000</v>
          </cell>
          <cell r="AE36">
            <v>44703</v>
          </cell>
          <cell r="AF36">
            <v>-24703</v>
          </cell>
          <cell r="AG36" t="str">
            <v>Výměna klávesnice, myší atd.</v>
          </cell>
        </row>
        <row r="37">
          <cell r="B37">
            <v>411</v>
          </cell>
          <cell r="C37"/>
          <cell r="D37"/>
          <cell r="E37" t="str">
            <v>spotřební materiál (tonery atd.)</v>
          </cell>
          <cell r="F37"/>
          <cell r="G37"/>
          <cell r="H37">
            <v>0</v>
          </cell>
          <cell r="I37">
            <v>0</v>
          </cell>
          <cell r="J37">
            <v>0</v>
          </cell>
          <cell r="K37">
            <v>-31103.7</v>
          </cell>
          <cell r="L37">
            <v>0</v>
          </cell>
          <cell r="M37">
            <v>43961.96</v>
          </cell>
          <cell r="N37">
            <v>-43961.96</v>
          </cell>
          <cell r="O37"/>
          <cell r="P37"/>
          <cell r="Q37"/>
          <cell r="R37"/>
          <cell r="S37">
            <v>43961.96</v>
          </cell>
          <cell r="T37">
            <v>-43961.96</v>
          </cell>
          <cell r="U37">
            <v>-87923.92</v>
          </cell>
          <cell r="V37">
            <v>-43961.96</v>
          </cell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</row>
        <row r="38">
          <cell r="B38">
            <v>420</v>
          </cell>
          <cell r="C38" t="str">
            <v>Aplikace</v>
          </cell>
          <cell r="D38" t="str">
            <v>Licence</v>
          </cell>
          <cell r="E38" t="str">
            <v>Výměna stanic - cca 10 ks / rok (pouze instalace nově nakoupené technicky / kontrola smlouvy)</v>
          </cell>
          <cell r="F38" t="str">
            <v>N</v>
          </cell>
          <cell r="G38" t="str">
            <v>Rozvojový</v>
          </cell>
          <cell r="H38">
            <v>22000</v>
          </cell>
          <cell r="I38">
            <v>0</v>
          </cell>
          <cell r="J38">
            <v>0</v>
          </cell>
          <cell r="K38">
            <v>0</v>
          </cell>
          <cell r="L38">
            <v>20000</v>
          </cell>
          <cell r="M38">
            <v>83888.06</v>
          </cell>
          <cell r="N38">
            <v>-63888.06</v>
          </cell>
          <cell r="O38"/>
          <cell r="P38">
            <v>1</v>
          </cell>
          <cell r="Q38">
            <v>0</v>
          </cell>
          <cell r="R38">
            <v>0</v>
          </cell>
          <cell r="S38">
            <v>83888.06</v>
          </cell>
          <cell r="T38">
            <v>-83888.06</v>
          </cell>
          <cell r="U38">
            <v>-167776.12</v>
          </cell>
          <cell r="V38">
            <v>-83888.06</v>
          </cell>
          <cell r="W38"/>
          <cell r="X38">
            <v>36000</v>
          </cell>
          <cell r="Y38">
            <v>0</v>
          </cell>
          <cell r="Z38">
            <v>0</v>
          </cell>
          <cell r="AA38">
            <v>0</v>
          </cell>
          <cell r="AB38" t="str">
            <v>Rozpočet IT</v>
          </cell>
          <cell r="AC38" t="str">
            <v>ANO</v>
          </cell>
          <cell r="AD38">
            <v>36000</v>
          </cell>
          <cell r="AE38">
            <v>222397</v>
          </cell>
          <cell r="AF38">
            <v>-186397</v>
          </cell>
          <cell r="AG38" t="str">
            <v>Výměna PC, NTB (možná ve výběrku)</v>
          </cell>
        </row>
        <row r="39">
          <cell r="B39">
            <v>421</v>
          </cell>
          <cell r="C39" t="str">
            <v>Aplikace</v>
          </cell>
          <cell r="D39" t="str">
            <v>Licence</v>
          </cell>
          <cell r="E39" t="str">
            <v>Počítače mimo support</v>
          </cell>
          <cell r="F39"/>
          <cell r="G39" t="str">
            <v>Mandatorní</v>
          </cell>
          <cell r="H39">
            <v>0</v>
          </cell>
          <cell r="I39">
            <v>360000</v>
          </cell>
          <cell r="J39">
            <v>0</v>
          </cell>
          <cell r="K39">
            <v>360000</v>
          </cell>
          <cell r="L39">
            <v>0</v>
          </cell>
          <cell r="M39">
            <v>0</v>
          </cell>
          <cell r="N39">
            <v>0</v>
          </cell>
          <cell r="O39"/>
          <cell r="P39">
            <v>1</v>
          </cell>
          <cell r="Q39">
            <v>360000</v>
          </cell>
          <cell r="R39">
            <v>360000</v>
          </cell>
          <cell r="S39">
            <v>0</v>
          </cell>
          <cell r="T39">
            <v>360000</v>
          </cell>
          <cell r="U39">
            <v>720000</v>
          </cell>
          <cell r="V39">
            <v>360000</v>
          </cell>
          <cell r="W39"/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  <cell r="AF39">
            <v>0</v>
          </cell>
          <cell r="AG39"/>
        </row>
        <row r="40">
          <cell r="B40">
            <v>430</v>
          </cell>
          <cell r="C40" t="str">
            <v>Koncová zařízení</v>
          </cell>
          <cell r="D40" t="str">
            <v>Spotřební materiál</v>
          </cell>
          <cell r="E40" t="str">
            <v>Opravy</v>
          </cell>
          <cell r="F40" t="str">
            <v>N</v>
          </cell>
          <cell r="G40" t="str">
            <v>Mandatorní</v>
          </cell>
          <cell r="H40">
            <v>55000.000000000007</v>
          </cell>
          <cell r="I40">
            <v>100000</v>
          </cell>
          <cell r="J40">
            <v>0</v>
          </cell>
          <cell r="K40">
            <v>41379.1</v>
          </cell>
          <cell r="L40">
            <v>50000</v>
          </cell>
          <cell r="M40">
            <v>42001.82</v>
          </cell>
          <cell r="N40">
            <v>7998.18</v>
          </cell>
          <cell r="O40"/>
          <cell r="P40">
            <v>1</v>
          </cell>
          <cell r="Q40">
            <v>0</v>
          </cell>
          <cell r="R40">
            <v>100000</v>
          </cell>
          <cell r="S40">
            <v>42001.82</v>
          </cell>
          <cell r="T40">
            <v>57998.18</v>
          </cell>
          <cell r="U40">
            <v>115996.36</v>
          </cell>
          <cell r="V40">
            <v>57998.18</v>
          </cell>
          <cell r="W40"/>
          <cell r="X40">
            <v>0</v>
          </cell>
          <cell r="Y40">
            <v>50000</v>
          </cell>
          <cell r="Z40">
            <v>0</v>
          </cell>
          <cell r="AA40"/>
          <cell r="AB40"/>
          <cell r="AC40"/>
          <cell r="AD40">
            <v>0</v>
          </cell>
          <cell r="AE40">
            <v>41671</v>
          </cell>
          <cell r="AF40">
            <v>-41671</v>
          </cell>
          <cell r="AG40"/>
        </row>
        <row r="41">
          <cell r="B41">
            <v>431</v>
          </cell>
          <cell r="C41" t="str">
            <v>Koncová zařízení</v>
          </cell>
          <cell r="D41"/>
          <cell r="E41" t="str">
            <v>AV technika - místnosti AULA, č.6, č.306, MG, Veletržní</v>
          </cell>
          <cell r="F41"/>
          <cell r="G41" t="str">
            <v>Mandatorní</v>
          </cell>
          <cell r="H41">
            <v>220000.00000000003</v>
          </cell>
          <cell r="I41">
            <v>0</v>
          </cell>
          <cell r="J41">
            <v>0</v>
          </cell>
          <cell r="K41">
            <v>-20231</v>
          </cell>
          <cell r="L41">
            <v>200000</v>
          </cell>
          <cell r="M41">
            <v>36469.4</v>
          </cell>
          <cell r="N41">
            <v>163530.6</v>
          </cell>
          <cell r="O41"/>
          <cell r="P41" t="str">
            <v>S</v>
          </cell>
          <cell r="Q41">
            <v>100000</v>
          </cell>
          <cell r="R41">
            <v>0</v>
          </cell>
          <cell r="S41">
            <v>36469.4</v>
          </cell>
          <cell r="T41">
            <v>-36469.4</v>
          </cell>
          <cell r="U41">
            <v>-72938.8</v>
          </cell>
          <cell r="V41">
            <v>-36469.4</v>
          </cell>
          <cell r="W41">
            <v>100000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/>
          <cell r="AF41">
            <v>0</v>
          </cell>
          <cell r="AG41"/>
        </row>
        <row r="42">
          <cell r="B42">
            <v>440</v>
          </cell>
          <cell r="C42" t="str">
            <v>Koncová zařízení</v>
          </cell>
          <cell r="D42"/>
          <cell r="E42" t="str">
            <v>Výměna stanic - cca 20 ks /rok (nákup) - pravidelná obměna zastaralých</v>
          </cell>
          <cell r="F42" t="str">
            <v>N</v>
          </cell>
          <cell r="G42" t="str">
            <v>Rozvojový</v>
          </cell>
          <cell r="H42">
            <v>495000.00000000006</v>
          </cell>
          <cell r="I42">
            <v>250000</v>
          </cell>
          <cell r="J42">
            <v>0</v>
          </cell>
          <cell r="K42">
            <v>120543.81999999999</v>
          </cell>
          <cell r="L42">
            <v>450000</v>
          </cell>
          <cell r="M42">
            <v>518610</v>
          </cell>
          <cell r="N42">
            <v>-68610</v>
          </cell>
          <cell r="O42"/>
          <cell r="P42">
            <v>0</v>
          </cell>
          <cell r="Q42">
            <v>250000</v>
          </cell>
          <cell r="R42">
            <v>250000</v>
          </cell>
          <cell r="S42">
            <v>518610</v>
          </cell>
          <cell r="T42">
            <v>-268610</v>
          </cell>
          <cell r="U42">
            <v>-537220</v>
          </cell>
          <cell r="V42">
            <v>-268610</v>
          </cell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</row>
        <row r="43">
          <cell r="B43">
            <v>441</v>
          </cell>
          <cell r="C43"/>
          <cell r="D43"/>
          <cell r="E43" t="str">
            <v>Monitory, tiskárny</v>
          </cell>
          <cell r="F43"/>
          <cell r="G43"/>
          <cell r="H43">
            <v>0</v>
          </cell>
          <cell r="I43">
            <v>0</v>
          </cell>
          <cell r="J43">
            <v>0</v>
          </cell>
          <cell r="K43">
            <v>-3812</v>
          </cell>
          <cell r="L43">
            <v>0</v>
          </cell>
          <cell r="M43">
            <v>26890.41</v>
          </cell>
          <cell r="N43">
            <v>-26890.41</v>
          </cell>
          <cell r="O43"/>
          <cell r="P43"/>
          <cell r="Q43"/>
          <cell r="R43">
            <v>0</v>
          </cell>
          <cell r="S43">
            <v>26890.41</v>
          </cell>
          <cell r="T43">
            <v>-26890.41</v>
          </cell>
          <cell r="U43">
            <v>-53780.82</v>
          </cell>
          <cell r="V43">
            <v>-26890.41</v>
          </cell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</row>
        <row r="44">
          <cell r="B44">
            <v>510</v>
          </cell>
          <cell r="C44"/>
          <cell r="D44"/>
          <cell r="E44" t="str">
            <v>Objekty</v>
          </cell>
          <cell r="F44"/>
          <cell r="G44"/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/>
          <cell r="P44"/>
          <cell r="Q44"/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</row>
        <row r="45">
          <cell r="B45">
            <v>520</v>
          </cell>
          <cell r="C45" t="str">
            <v>Sítě</v>
          </cell>
          <cell r="D45" t="str">
            <v>Hlavní budova</v>
          </cell>
          <cell r="E45" t="str">
            <v>LAN (switch + racky)</v>
          </cell>
          <cell r="F45" t="str">
            <v>N</v>
          </cell>
          <cell r="G45" t="str">
            <v>Rozvojový</v>
          </cell>
          <cell r="H45">
            <v>55000.000000000007</v>
          </cell>
          <cell r="I45">
            <v>0</v>
          </cell>
          <cell r="J45">
            <v>0</v>
          </cell>
          <cell r="K45">
            <v>0</v>
          </cell>
          <cell r="L45">
            <v>50000</v>
          </cell>
          <cell r="M45">
            <v>6460</v>
          </cell>
          <cell r="N45">
            <v>43540</v>
          </cell>
          <cell r="O45"/>
          <cell r="P45" t="str">
            <v>S</v>
          </cell>
          <cell r="Q45">
            <v>0</v>
          </cell>
          <cell r="R45">
            <v>0</v>
          </cell>
          <cell r="S45">
            <v>6460</v>
          </cell>
          <cell r="T45">
            <v>-6460</v>
          </cell>
          <cell r="U45">
            <v>-12920</v>
          </cell>
          <cell r="V45">
            <v>-6460</v>
          </cell>
          <cell r="W45">
            <v>80000</v>
          </cell>
          <cell r="X45">
            <v>500000</v>
          </cell>
          <cell r="Y45">
            <v>150000</v>
          </cell>
          <cell r="Z45">
            <v>80000</v>
          </cell>
          <cell r="AA45">
            <v>0</v>
          </cell>
          <cell r="AB45" t="str">
            <v>Rozpočet IT</v>
          </cell>
          <cell r="AC45" t="str">
            <v>NE</v>
          </cell>
          <cell r="AD45">
            <v>80000</v>
          </cell>
          <cell r="AE45">
            <v>2717</v>
          </cell>
          <cell r="AF45">
            <v>77283</v>
          </cell>
          <cell r="AG45" t="str">
            <v>Zvýšení rychlostí sítě - Digilab</v>
          </cell>
        </row>
        <row r="46">
          <cell r="B46">
            <v>530</v>
          </cell>
          <cell r="C46"/>
          <cell r="D46"/>
          <cell r="E46" t="str">
            <v>WAN</v>
          </cell>
          <cell r="F46"/>
          <cell r="G46"/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/>
          <cell r="P46"/>
          <cell r="Q46"/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</row>
        <row r="47">
          <cell r="B47">
            <v>540</v>
          </cell>
          <cell r="C47" t="str">
            <v>Sítě</v>
          </cell>
          <cell r="D47" t="str">
            <v>Hlavní budova</v>
          </cell>
          <cell r="E47" t="str">
            <v>Wireless (pokud bude přechod na novou Wi-Fi tak lze snížit)</v>
          </cell>
          <cell r="F47" t="str">
            <v>N</v>
          </cell>
          <cell r="G47" t="str">
            <v>Rozvojový</v>
          </cell>
          <cell r="H47">
            <v>110000.00000000001</v>
          </cell>
          <cell r="I47">
            <v>0</v>
          </cell>
          <cell r="J47">
            <v>0</v>
          </cell>
          <cell r="K47">
            <v>0</v>
          </cell>
          <cell r="L47">
            <v>100000</v>
          </cell>
          <cell r="M47">
            <v>102100.22999999998</v>
          </cell>
          <cell r="N47">
            <v>-2100.2299999999814</v>
          </cell>
          <cell r="O47"/>
          <cell r="P47">
            <v>0</v>
          </cell>
          <cell r="Q47">
            <v>0</v>
          </cell>
          <cell r="R47">
            <v>0</v>
          </cell>
          <cell r="S47">
            <v>102100.22999999998</v>
          </cell>
          <cell r="T47">
            <v>-102100.22999999998</v>
          </cell>
          <cell r="U47">
            <v>-204200.45999999996</v>
          </cell>
          <cell r="V47">
            <v>-102100.22999999998</v>
          </cell>
          <cell r="W47"/>
          <cell r="X47">
            <v>80000</v>
          </cell>
          <cell r="Y47">
            <v>0</v>
          </cell>
          <cell r="Z47">
            <v>0</v>
          </cell>
          <cell r="AA47">
            <v>0</v>
          </cell>
          <cell r="AB47" t="str">
            <v>Rozpočet IT</v>
          </cell>
          <cell r="AC47" t="str">
            <v>ANO</v>
          </cell>
          <cell r="AD47">
            <v>0</v>
          </cell>
          <cell r="AE47">
            <v>8360</v>
          </cell>
          <cell r="AF47">
            <v>-8360</v>
          </cell>
          <cell r="AG47" t="str">
            <v>Rozšíření WIFI signálu a obměna prvků</v>
          </cell>
        </row>
        <row r="48">
          <cell r="B48">
            <v>590</v>
          </cell>
          <cell r="C48"/>
          <cell r="D48"/>
          <cell r="E48" t="str">
            <v>Ostatní (sítě)</v>
          </cell>
          <cell r="F48"/>
          <cell r="G48"/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/>
          <cell r="P48"/>
          <cell r="Q48"/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</row>
        <row r="49">
          <cell r="B49">
            <v>600</v>
          </cell>
          <cell r="C49" t="str">
            <v>Sítě</v>
          </cell>
          <cell r="D49" t="str">
            <v>Podpora</v>
          </cell>
          <cell r="E49" t="str">
            <v>Smlouva externí dodavatel - Správa sítě</v>
          </cell>
          <cell r="F49" t="str">
            <v>Č</v>
          </cell>
          <cell r="G49" t="str">
            <v>Mandatorní</v>
          </cell>
          <cell r="H49">
            <v>2713642.8000000003</v>
          </cell>
          <cell r="I49">
            <v>2520000</v>
          </cell>
          <cell r="J49">
            <v>0</v>
          </cell>
          <cell r="K49">
            <v>53052</v>
          </cell>
          <cell r="L49">
            <v>2466948</v>
          </cell>
          <cell r="M49">
            <v>2466948</v>
          </cell>
          <cell r="N49">
            <v>0</v>
          </cell>
          <cell r="O49"/>
          <cell r="P49">
            <v>0</v>
          </cell>
          <cell r="Q49">
            <v>2520000</v>
          </cell>
          <cell r="R49">
            <v>2520000</v>
          </cell>
          <cell r="S49">
            <v>2466948</v>
          </cell>
          <cell r="T49">
            <v>53052</v>
          </cell>
          <cell r="U49">
            <v>106104</v>
          </cell>
          <cell r="V49">
            <v>53052</v>
          </cell>
          <cell r="W49"/>
          <cell r="X49">
            <v>3000000</v>
          </cell>
          <cell r="Y49">
            <v>0</v>
          </cell>
          <cell r="Z49">
            <v>3000000</v>
          </cell>
          <cell r="AA49">
            <v>0</v>
          </cell>
          <cell r="AB49" t="str">
            <v>Rozpočet IT</v>
          </cell>
          <cell r="AC49" t="str">
            <v>ANO</v>
          </cell>
          <cell r="AD49">
            <v>3000000</v>
          </cell>
          <cell r="AE49">
            <v>0</v>
          </cell>
          <cell r="AF49">
            <v>3000000</v>
          </cell>
          <cell r="AG49" t="str">
            <v>Správá sítě</v>
          </cell>
        </row>
        <row r="50">
          <cell r="B50">
            <v>601</v>
          </cell>
          <cell r="C50" t="str">
            <v>Sítě</v>
          </cell>
          <cell r="D50" t="str">
            <v>Podpora</v>
          </cell>
          <cell r="E50" t="str">
            <v>Práce Balcom + rezerva - NAS, MS Teams skupiny, support při migraci na SQL HA, Sharepoint, podpora nové ateliéry</v>
          </cell>
          <cell r="F50"/>
          <cell r="G50" t="str">
            <v>Rozvojový</v>
          </cell>
          <cell r="H50">
            <v>0</v>
          </cell>
          <cell r="I50">
            <v>250000</v>
          </cell>
          <cell r="J50">
            <v>0</v>
          </cell>
          <cell r="K50">
            <v>181108</v>
          </cell>
          <cell r="L50">
            <v>0</v>
          </cell>
          <cell r="M50">
            <v>232375</v>
          </cell>
          <cell r="N50">
            <v>-232375</v>
          </cell>
          <cell r="O50"/>
          <cell r="P50">
            <v>1</v>
          </cell>
          <cell r="Q50">
            <v>1000000</v>
          </cell>
          <cell r="R50">
            <v>250000</v>
          </cell>
          <cell r="S50">
            <v>232375</v>
          </cell>
          <cell r="T50">
            <v>17625</v>
          </cell>
          <cell r="U50">
            <v>35250</v>
          </cell>
          <cell r="V50">
            <v>17625</v>
          </cell>
          <cell r="W50"/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/>
          <cell r="AF50">
            <v>0</v>
          </cell>
          <cell r="AG50"/>
        </row>
        <row r="51">
          <cell r="B51">
            <v>710</v>
          </cell>
          <cell r="C51" t="str">
            <v>Školení a poplatky</v>
          </cell>
          <cell r="D51" t="str">
            <v>Poplatky</v>
          </cell>
          <cell r="E51" t="str">
            <v>Cesnet - členský poplatek</v>
          </cell>
          <cell r="F51" t="str">
            <v>E</v>
          </cell>
          <cell r="G51" t="str">
            <v>Mandatorní</v>
          </cell>
          <cell r="H51">
            <v>163512.80000000002</v>
          </cell>
          <cell r="I51">
            <v>161524</v>
          </cell>
          <cell r="J51">
            <v>0</v>
          </cell>
          <cell r="K51">
            <v>-1497.25</v>
          </cell>
          <cell r="L51">
            <v>148648</v>
          </cell>
          <cell r="M51">
            <v>340631.70999999996</v>
          </cell>
          <cell r="N51">
            <v>-191983.70999999996</v>
          </cell>
          <cell r="O51"/>
          <cell r="P51">
            <v>0</v>
          </cell>
          <cell r="Q51">
            <v>200000</v>
          </cell>
          <cell r="R51">
            <v>161524</v>
          </cell>
          <cell r="S51">
            <v>340631.70999999996</v>
          </cell>
          <cell r="T51">
            <v>-179107.70999999996</v>
          </cell>
          <cell r="U51">
            <v>-358215.41999999993</v>
          </cell>
          <cell r="V51">
            <v>-179107.70999999996</v>
          </cell>
          <cell r="W51"/>
          <cell r="X51">
            <v>161524</v>
          </cell>
          <cell r="Y51">
            <v>0</v>
          </cell>
          <cell r="Z51">
            <v>161524</v>
          </cell>
          <cell r="AA51">
            <v>0</v>
          </cell>
          <cell r="AB51" t="str">
            <v>Rozpočet IT</v>
          </cell>
          <cell r="AC51" t="str">
            <v>ANO</v>
          </cell>
          <cell r="AD51">
            <v>161524</v>
          </cell>
          <cell r="AE51">
            <v>148648</v>
          </cell>
          <cell r="AF51">
            <v>12876</v>
          </cell>
          <cell r="AG51" t="str">
            <v>Internet, služby, cloud, rozvoj, apod.</v>
          </cell>
        </row>
        <row r="52">
          <cell r="B52">
            <v>720</v>
          </cell>
          <cell r="C52" t="str">
            <v>Školení a poplatky</v>
          </cell>
          <cell r="D52" t="str">
            <v>Poplatky</v>
          </cell>
          <cell r="E52" t="str">
            <v>Eunis - členský poplatek</v>
          </cell>
          <cell r="F52" t="str">
            <v>E</v>
          </cell>
          <cell r="G52" t="str">
            <v>Mandatorní</v>
          </cell>
          <cell r="H52">
            <v>26620.000000000004</v>
          </cell>
          <cell r="I52">
            <v>24200</v>
          </cell>
          <cell r="J52">
            <v>0</v>
          </cell>
          <cell r="K52">
            <v>4200</v>
          </cell>
          <cell r="L52">
            <v>24200</v>
          </cell>
          <cell r="M52">
            <v>20000</v>
          </cell>
          <cell r="N52">
            <v>4200</v>
          </cell>
          <cell r="O52"/>
          <cell r="P52">
            <v>0</v>
          </cell>
          <cell r="Q52">
            <v>24200</v>
          </cell>
          <cell r="R52">
            <v>24200</v>
          </cell>
          <cell r="S52">
            <v>20000</v>
          </cell>
          <cell r="T52">
            <v>4200</v>
          </cell>
          <cell r="U52">
            <v>8400</v>
          </cell>
          <cell r="V52">
            <v>4200</v>
          </cell>
          <cell r="W52"/>
          <cell r="X52">
            <v>24200</v>
          </cell>
          <cell r="Y52">
            <v>0</v>
          </cell>
          <cell r="Z52">
            <v>24200</v>
          </cell>
          <cell r="AA52">
            <v>0</v>
          </cell>
          <cell r="AB52" t="str">
            <v>Rozpočet IT</v>
          </cell>
          <cell r="AC52" t="str">
            <v>ANO</v>
          </cell>
          <cell r="AD52">
            <v>24200</v>
          </cell>
          <cell r="AE52">
            <v>24200</v>
          </cell>
          <cell r="AF52">
            <v>0</v>
          </cell>
          <cell r="AG52" t="str">
            <v>Mj. sleva na licence a další výhody pro vysoké školy</v>
          </cell>
        </row>
        <row r="53">
          <cell r="B53">
            <v>730</v>
          </cell>
          <cell r="C53"/>
          <cell r="D53"/>
          <cell r="E53" t="str">
            <v>Ostatní (školení)</v>
          </cell>
          <cell r="F53"/>
          <cell r="G53"/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/>
          <cell r="P53"/>
          <cell r="Q53"/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</row>
        <row r="54">
          <cell r="B54">
            <v>800</v>
          </cell>
          <cell r="C54"/>
          <cell r="D54"/>
          <cell r="E54" t="str">
            <v>Ostatní</v>
          </cell>
          <cell r="F54"/>
          <cell r="G54"/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/>
          <cell r="P54"/>
          <cell r="Q54"/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</row>
        <row r="55">
          <cell r="B55">
            <v>910</v>
          </cell>
          <cell r="C55" t="str">
            <v>Aplikace</v>
          </cell>
          <cell r="D55" t="str">
            <v>Licence</v>
          </cell>
          <cell r="E55" t="str">
            <v>Linkedin</v>
          </cell>
          <cell r="F55"/>
          <cell r="G55" t="str">
            <v>Rozvojový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/>
          <cell r="P55" t="str">
            <v>S</v>
          </cell>
          <cell r="Q55">
            <v>72000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72000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/>
          <cell r="AF55">
            <v>0</v>
          </cell>
          <cell r="AG55"/>
        </row>
        <row r="56">
          <cell r="B56">
            <v>911</v>
          </cell>
          <cell r="C56" t="str">
            <v>Aplikace</v>
          </cell>
          <cell r="D56" t="str">
            <v>STAG</v>
          </cell>
          <cell r="E56" t="str">
            <v>Databáze STAG – čtení a zápis</v>
          </cell>
          <cell r="F56" t="str">
            <v>N</v>
          </cell>
          <cell r="G56" t="str">
            <v>Rozvojový</v>
          </cell>
          <cell r="H56">
            <v>0</v>
          </cell>
          <cell r="I56">
            <v>0</v>
          </cell>
          <cell r="J56">
            <v>0</v>
          </cell>
          <cell r="K56">
            <v>-95590</v>
          </cell>
          <cell r="L56">
            <v>0</v>
          </cell>
          <cell r="M56">
            <v>95590</v>
          </cell>
          <cell r="N56">
            <v>-95590</v>
          </cell>
          <cell r="O56"/>
          <cell r="P56">
            <v>1</v>
          </cell>
          <cell r="Q56">
            <v>70000</v>
          </cell>
          <cell r="R56">
            <v>0</v>
          </cell>
          <cell r="S56">
            <v>95590</v>
          </cell>
          <cell r="T56">
            <v>-95590</v>
          </cell>
          <cell r="U56">
            <v>-191180</v>
          </cell>
          <cell r="V56">
            <v>-95590</v>
          </cell>
          <cell r="W56"/>
          <cell r="X56">
            <v>80000</v>
          </cell>
          <cell r="Y56">
            <v>0</v>
          </cell>
          <cell r="Z56">
            <v>80000</v>
          </cell>
          <cell r="AA56">
            <v>150000</v>
          </cell>
          <cell r="AB56" t="str">
            <v>NPO</v>
          </cell>
          <cell r="AC56" t="str">
            <v>ANO i NE</v>
          </cell>
          <cell r="AD56">
            <v>70000</v>
          </cell>
          <cell r="AE56">
            <v>0</v>
          </cell>
          <cell r="AF56">
            <v>70000</v>
          </cell>
          <cell r="AG56" t="str">
            <v>Technologický upgrade - Zálohovacího serveru</v>
          </cell>
        </row>
        <row r="57">
          <cell r="B57">
            <v>912</v>
          </cell>
          <cell r="C57" t="str">
            <v>Aplikace</v>
          </cell>
          <cell r="D57" t="str">
            <v>STAG</v>
          </cell>
          <cell r="E57" t="str">
            <v>Databáze STAG – Doprogramování modulu pro Integrator AD</v>
          </cell>
          <cell r="F57" t="str">
            <v>N</v>
          </cell>
          <cell r="G57" t="str">
            <v>Rozvojový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/>
          <cell r="P57">
            <v>1</v>
          </cell>
          <cell r="Q57">
            <v>80000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/>
          <cell r="X57">
            <v>80000</v>
          </cell>
          <cell r="Y57">
            <v>0</v>
          </cell>
          <cell r="Z57">
            <v>80000</v>
          </cell>
          <cell r="AA57">
            <v>0</v>
          </cell>
          <cell r="AB57" t="str">
            <v>Rozpočet IT</v>
          </cell>
          <cell r="AC57" t="str">
            <v>ANO</v>
          </cell>
          <cell r="AD57">
            <v>70000</v>
          </cell>
          <cell r="AE57">
            <v>0</v>
          </cell>
          <cell r="AF57">
            <v>70000</v>
          </cell>
          <cell r="AG57" t="str">
            <v>Technologický a bezpečnostní upgrade serveru</v>
          </cell>
        </row>
        <row r="58">
          <cell r="B58">
            <v>913</v>
          </cell>
          <cell r="C58" t="str">
            <v>Aplikace</v>
          </cell>
          <cell r="D58" t="str">
            <v>STAG</v>
          </cell>
          <cell r="E58" t="str">
            <v>Databáze STAG – požadavek studijního oddělení na doplňování dat</v>
          </cell>
          <cell r="F58" t="str">
            <v>N</v>
          </cell>
          <cell r="G58" t="str">
            <v>Rozvojový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/>
          <cell r="P58">
            <v>1</v>
          </cell>
          <cell r="Q58">
            <v>80000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/>
          <cell r="X58">
            <v>80000</v>
          </cell>
          <cell r="Y58">
            <v>10000</v>
          </cell>
          <cell r="Z58">
            <v>80000</v>
          </cell>
          <cell r="AA58">
            <v>150000</v>
          </cell>
          <cell r="AB58" t="str">
            <v>NPO</v>
          </cell>
          <cell r="AC58" t="str">
            <v>ANO</v>
          </cell>
          <cell r="AD58">
            <v>70000</v>
          </cell>
          <cell r="AE58">
            <v>0</v>
          </cell>
          <cell r="AF58">
            <v>70000</v>
          </cell>
          <cell r="AG58" t="str">
            <v>Nákup mobílního streamovací zařízení pro ateliéry</v>
          </cell>
        </row>
        <row r="59">
          <cell r="B59">
            <v>914</v>
          </cell>
          <cell r="C59" t="str">
            <v>Infrastruktura</v>
          </cell>
          <cell r="D59" t="str">
            <v>Active Directory</v>
          </cell>
          <cell r="E59" t="str">
            <v>Zrušení LDAP a vytvoření automatických účtu EDUROAM</v>
          </cell>
          <cell r="F59" t="str">
            <v>N</v>
          </cell>
          <cell r="G59" t="str">
            <v>Rozvojový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/>
          <cell r="P59">
            <v>1</v>
          </cell>
          <cell r="Q59">
            <v>70000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/>
          <cell r="X59">
            <v>80000</v>
          </cell>
          <cell r="Y59">
            <v>0</v>
          </cell>
          <cell r="Z59">
            <v>0</v>
          </cell>
          <cell r="AA59">
            <v>0</v>
          </cell>
          <cell r="AB59" t="str">
            <v>Rozpočet IT</v>
          </cell>
          <cell r="AC59" t="str">
            <v>ANO</v>
          </cell>
          <cell r="AD59">
            <v>70000</v>
          </cell>
          <cell r="AE59">
            <v>0</v>
          </cell>
          <cell r="AF59">
            <v>70000</v>
          </cell>
          <cell r="AG59" t="str">
            <v>Správa všech aktivních prvků</v>
          </cell>
        </row>
        <row r="60">
          <cell r="B60">
            <v>915</v>
          </cell>
          <cell r="C60" t="str">
            <v>Infrastruktura</v>
          </cell>
          <cell r="D60" t="str">
            <v>Servery</v>
          </cell>
          <cell r="E60" t="str">
            <v>Technologický upgrade serverů Kronos, Nemesis, Zeus3 - Windows Server 2022, Hypervisor</v>
          </cell>
          <cell r="F60" t="str">
            <v>N</v>
          </cell>
          <cell r="G60" t="str">
            <v>Rozvojový</v>
          </cell>
          <cell r="H60">
            <v>391074.42000000004</v>
          </cell>
          <cell r="I60">
            <v>0</v>
          </cell>
          <cell r="J60">
            <v>0</v>
          </cell>
          <cell r="K60">
            <v>0</v>
          </cell>
          <cell r="L60">
            <v>355522.2</v>
          </cell>
          <cell r="M60">
            <v>0</v>
          </cell>
          <cell r="N60">
            <v>355522.2</v>
          </cell>
          <cell r="O60"/>
          <cell r="P60">
            <v>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/>
          <cell r="X60">
            <v>140000</v>
          </cell>
          <cell r="Y60">
            <v>0</v>
          </cell>
          <cell r="Z60">
            <v>140000</v>
          </cell>
          <cell r="AA60">
            <v>0</v>
          </cell>
          <cell r="AB60" t="str">
            <v>Rozpočet IT</v>
          </cell>
          <cell r="AC60" t="str">
            <v>ANO</v>
          </cell>
          <cell r="AD60">
            <v>120000</v>
          </cell>
          <cell r="AE60">
            <v>0</v>
          </cell>
          <cell r="AF60">
            <v>120000</v>
          </cell>
          <cell r="AG60" t="str">
            <v>Technologický a bezpečnostní upgrade serveru</v>
          </cell>
        </row>
        <row r="61">
          <cell r="B61">
            <v>916</v>
          </cell>
          <cell r="C61"/>
          <cell r="D61"/>
          <cell r="E61" t="str">
            <v>NVR - nový kamerový systém</v>
          </cell>
          <cell r="F61"/>
          <cell r="G61" t="str">
            <v>Rozvojový</v>
          </cell>
          <cell r="H61">
            <v>132000</v>
          </cell>
          <cell r="I61">
            <v>0</v>
          </cell>
          <cell r="J61">
            <v>0</v>
          </cell>
          <cell r="K61">
            <v>0</v>
          </cell>
          <cell r="L61">
            <v>120000</v>
          </cell>
          <cell r="M61">
            <v>69115</v>
          </cell>
          <cell r="N61">
            <v>50885</v>
          </cell>
          <cell r="O61"/>
          <cell r="P61" t="str">
            <v>S</v>
          </cell>
          <cell r="Q61">
            <v>100000</v>
          </cell>
          <cell r="R61">
            <v>0</v>
          </cell>
          <cell r="S61">
            <v>69115</v>
          </cell>
          <cell r="T61">
            <v>-69115</v>
          </cell>
          <cell r="U61">
            <v>-138230</v>
          </cell>
          <cell r="V61">
            <v>-69115</v>
          </cell>
          <cell r="W61">
            <v>100000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/>
          <cell r="AF61">
            <v>0</v>
          </cell>
          <cell r="AG61"/>
        </row>
        <row r="62">
          <cell r="B62">
            <v>951</v>
          </cell>
          <cell r="C62" t="str">
            <v>Infrastruktura</v>
          </cell>
          <cell r="D62" t="str">
            <v>Disková pole</v>
          </cell>
          <cell r="E62" t="str">
            <v>Výměna velkokapacitního diskového pole - 2024</v>
          </cell>
          <cell r="F62" t="str">
            <v>N</v>
          </cell>
          <cell r="G62" t="str">
            <v>Rozvojový</v>
          </cell>
          <cell r="H62">
            <v>700000</v>
          </cell>
          <cell r="I62">
            <v>55000</v>
          </cell>
          <cell r="J62">
            <v>0</v>
          </cell>
          <cell r="K62">
            <v>-504746</v>
          </cell>
          <cell r="L62">
            <v>0</v>
          </cell>
          <cell r="M62">
            <v>0</v>
          </cell>
          <cell r="N62">
            <v>0</v>
          </cell>
          <cell r="O62"/>
          <cell r="P62">
            <v>1</v>
          </cell>
          <cell r="Q62">
            <v>0</v>
          </cell>
          <cell r="R62">
            <v>55000</v>
          </cell>
          <cell r="S62">
            <v>0</v>
          </cell>
          <cell r="T62">
            <v>55000</v>
          </cell>
          <cell r="U62">
            <v>110000</v>
          </cell>
          <cell r="V62">
            <v>55000</v>
          </cell>
          <cell r="W62"/>
          <cell r="X62">
            <v>1000000</v>
          </cell>
          <cell r="Y62">
            <v>0</v>
          </cell>
          <cell r="Z62">
            <v>0</v>
          </cell>
          <cell r="AA62">
            <v>1000000</v>
          </cell>
          <cell r="AB62" t="str">
            <v>NPO</v>
          </cell>
          <cell r="AC62" t="str">
            <v>ANO</v>
          </cell>
          <cell r="AD62">
            <v>800000</v>
          </cell>
          <cell r="AE62">
            <v>0</v>
          </cell>
          <cell r="AF62">
            <v>800000</v>
          </cell>
          <cell r="AG62" t="str">
            <v>Výměna hlavních serverů - nákup 2012 - /dp PO ZÁRUCE , Porrfolio/</v>
          </cell>
        </row>
        <row r="63">
          <cell r="B63">
            <v>952</v>
          </cell>
          <cell r="C63" t="str">
            <v>Infrastruktura</v>
          </cell>
          <cell r="D63" t="str">
            <v>Disková pole</v>
          </cell>
          <cell r="E63" t="str">
            <v>Zálohování do Cloudu - CESNET nebo Azure</v>
          </cell>
          <cell r="F63" t="str">
            <v>N</v>
          </cell>
          <cell r="G63" t="str">
            <v>Rozvojový</v>
          </cell>
          <cell r="H63">
            <v>44000</v>
          </cell>
          <cell r="I63">
            <v>10000</v>
          </cell>
          <cell r="J63">
            <v>0</v>
          </cell>
          <cell r="K63">
            <v>10000</v>
          </cell>
          <cell r="L63">
            <v>40000</v>
          </cell>
          <cell r="M63">
            <v>0</v>
          </cell>
          <cell r="N63">
            <v>40000</v>
          </cell>
          <cell r="O63"/>
          <cell r="P63">
            <v>1</v>
          </cell>
          <cell r="Q63">
            <v>40000</v>
          </cell>
          <cell r="R63">
            <v>10000</v>
          </cell>
          <cell r="S63">
            <v>0</v>
          </cell>
          <cell r="T63">
            <v>10000</v>
          </cell>
          <cell r="U63">
            <v>20000</v>
          </cell>
          <cell r="V63">
            <v>10000</v>
          </cell>
          <cell r="W63"/>
          <cell r="X63">
            <v>40000</v>
          </cell>
          <cell r="Y63">
            <v>40000</v>
          </cell>
          <cell r="Z63">
            <v>40000</v>
          </cell>
          <cell r="AA63">
            <v>0</v>
          </cell>
          <cell r="AB63" t="str">
            <v>Rozpočet IT</v>
          </cell>
          <cell r="AC63" t="str">
            <v>NE</v>
          </cell>
          <cell r="AD63">
            <v>0</v>
          </cell>
          <cell r="AE63">
            <v>0</v>
          </cell>
          <cell r="AF63">
            <v>0</v>
          </cell>
          <cell r="AG63" t="str">
            <v>Druhá záloha systému mimo AVU</v>
          </cell>
        </row>
        <row r="64">
          <cell r="B64">
            <v>953</v>
          </cell>
          <cell r="C64" t="str">
            <v>Sítě</v>
          </cell>
          <cell r="D64" t="str">
            <v>Wi-Fi</v>
          </cell>
          <cell r="E64" t="str">
            <v>Přechod na Wi-Fi AC a navýšení AP kvůli rozsahu signálu - 2. fáze - HOTOVO</v>
          </cell>
          <cell r="F64" t="str">
            <v>N</v>
          </cell>
          <cell r="G64" t="str">
            <v>Rozvojový</v>
          </cell>
          <cell r="H64">
            <v>0</v>
          </cell>
          <cell r="I64">
            <v>1350000</v>
          </cell>
          <cell r="J64">
            <v>0</v>
          </cell>
          <cell r="K64">
            <v>311771.1399999999</v>
          </cell>
          <cell r="L64">
            <v>0</v>
          </cell>
          <cell r="M64">
            <v>0</v>
          </cell>
          <cell r="N64">
            <v>0</v>
          </cell>
          <cell r="O64"/>
          <cell r="P64">
            <v>1</v>
          </cell>
          <cell r="Q64">
            <v>2838532</v>
          </cell>
          <cell r="R64">
            <v>1350000</v>
          </cell>
          <cell r="S64">
            <v>0</v>
          </cell>
          <cell r="T64">
            <v>1350000</v>
          </cell>
          <cell r="U64">
            <v>2700000</v>
          </cell>
          <cell r="V64">
            <v>1350000</v>
          </cell>
          <cell r="W64"/>
          <cell r="X64">
            <v>3000000</v>
          </cell>
          <cell r="Y64">
            <v>0</v>
          </cell>
          <cell r="Z64">
            <v>0</v>
          </cell>
          <cell r="AA64">
            <v>0</v>
          </cell>
          <cell r="AB64" t="str">
            <v>Rozpočet IT</v>
          </cell>
          <cell r="AC64" t="str">
            <v>ANO</v>
          </cell>
          <cell r="AD64">
            <v>3000000</v>
          </cell>
          <cell r="AE64">
            <v>161468</v>
          </cell>
          <cell r="AF64">
            <v>2838532</v>
          </cell>
          <cell r="AG64" t="str">
            <v>Výměna starých AP a rozšíření signálu</v>
          </cell>
        </row>
        <row r="65">
          <cell r="B65">
            <v>954</v>
          </cell>
          <cell r="C65" t="str">
            <v>Aplikace</v>
          </cell>
          <cell r="D65" t="str">
            <v>Office</v>
          </cell>
          <cell r="E65" t="str">
            <v>Přechod na nejnovější Exchange - technologický upgrade</v>
          </cell>
          <cell r="F65" t="str">
            <v>N</v>
          </cell>
          <cell r="G65" t="str">
            <v>Rozvojový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/>
          <cell r="P65">
            <v>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/>
          <cell r="X65">
            <v>120000</v>
          </cell>
          <cell r="Y65">
            <v>0</v>
          </cell>
          <cell r="Z65">
            <v>120000</v>
          </cell>
          <cell r="AA65">
            <v>0</v>
          </cell>
          <cell r="AB65" t="str">
            <v>Rozpočet IT</v>
          </cell>
          <cell r="AC65" t="str">
            <v>ANO</v>
          </cell>
          <cell r="AD65">
            <v>100000</v>
          </cell>
          <cell r="AE65">
            <v>157300</v>
          </cell>
          <cell r="AF65">
            <v>-57300</v>
          </cell>
          <cell r="AG65"/>
        </row>
        <row r="66">
          <cell r="B66">
            <v>955</v>
          </cell>
          <cell r="C66" t="str">
            <v>Aplikace</v>
          </cell>
          <cell r="D66" t="str">
            <v>Office</v>
          </cell>
          <cell r="E66" t="str">
            <v xml:space="preserve">Skupiny Outlook – Doprogramovat rozdělení skupin podle AD </v>
          </cell>
          <cell r="F66" t="str">
            <v>N</v>
          </cell>
          <cell r="G66" t="str">
            <v>Rozvojový</v>
          </cell>
          <cell r="H66">
            <v>77000</v>
          </cell>
          <cell r="I66">
            <v>70000</v>
          </cell>
          <cell r="J66">
            <v>0</v>
          </cell>
          <cell r="K66">
            <v>70000</v>
          </cell>
          <cell r="L66">
            <v>70000</v>
          </cell>
          <cell r="M66">
            <v>0</v>
          </cell>
          <cell r="N66">
            <v>70000</v>
          </cell>
          <cell r="O66"/>
          <cell r="P66">
            <v>1</v>
          </cell>
          <cell r="Q66">
            <v>30000</v>
          </cell>
          <cell r="R66">
            <v>70000</v>
          </cell>
          <cell r="S66">
            <v>0</v>
          </cell>
          <cell r="T66">
            <v>70000</v>
          </cell>
          <cell r="U66">
            <v>140000</v>
          </cell>
          <cell r="V66">
            <v>70000</v>
          </cell>
          <cell r="W66"/>
          <cell r="X66">
            <v>80000</v>
          </cell>
          <cell r="Y66">
            <v>0</v>
          </cell>
          <cell r="Z66">
            <v>80000</v>
          </cell>
          <cell r="AA66">
            <v>0</v>
          </cell>
          <cell r="AB66" t="str">
            <v>Rozpočet IT</v>
          </cell>
          <cell r="AC66" t="str">
            <v>ANO</v>
          </cell>
          <cell r="AD66">
            <v>70000</v>
          </cell>
          <cell r="AE66">
            <v>0</v>
          </cell>
          <cell r="AF66">
            <v>70000</v>
          </cell>
          <cell r="AG66" t="str">
            <v>Bzepečnostní update a sjednocení platformy</v>
          </cell>
        </row>
        <row r="67">
          <cell r="B67">
            <v>956</v>
          </cell>
          <cell r="C67" t="str">
            <v>Infrastruktura</v>
          </cell>
          <cell r="D67" t="str">
            <v>Servery</v>
          </cell>
          <cell r="E67" t="str">
            <v>ZEUS 3 - náhrada</v>
          </cell>
          <cell r="F67"/>
          <cell r="G67" t="str">
            <v>Mandatorní</v>
          </cell>
          <cell r="H67">
            <v>385000.00000000006</v>
          </cell>
          <cell r="I67">
            <v>500000</v>
          </cell>
          <cell r="J67">
            <v>0</v>
          </cell>
          <cell r="K67">
            <v>500000</v>
          </cell>
          <cell r="L67">
            <v>350000</v>
          </cell>
          <cell r="M67">
            <v>316790</v>
          </cell>
          <cell r="N67">
            <v>33210</v>
          </cell>
          <cell r="O67"/>
          <cell r="P67">
            <v>1</v>
          </cell>
          <cell r="Q67">
            <v>800000</v>
          </cell>
          <cell r="R67">
            <v>500000</v>
          </cell>
          <cell r="S67">
            <v>316790</v>
          </cell>
          <cell r="T67">
            <v>183210</v>
          </cell>
          <cell r="U67">
            <v>366420</v>
          </cell>
          <cell r="V67">
            <v>183210</v>
          </cell>
          <cell r="W67"/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/>
          <cell r="AF67">
            <v>0</v>
          </cell>
          <cell r="AG67"/>
        </row>
        <row r="68">
          <cell r="B68">
            <v>957</v>
          </cell>
          <cell r="C68"/>
          <cell r="D68"/>
          <cell r="E68" t="str">
            <v>Síťová infrastruktůra - Veletržní</v>
          </cell>
          <cell r="F68"/>
          <cell r="G68" t="str">
            <v>Rozvojový</v>
          </cell>
          <cell r="H68">
            <v>550000</v>
          </cell>
          <cell r="I68">
            <v>350000</v>
          </cell>
          <cell r="J68">
            <v>0</v>
          </cell>
          <cell r="K68">
            <v>98705.600000000006</v>
          </cell>
          <cell r="L68">
            <v>500000</v>
          </cell>
          <cell r="M68">
            <v>0</v>
          </cell>
          <cell r="N68">
            <v>500000</v>
          </cell>
          <cell r="O68"/>
          <cell r="P68">
            <v>1</v>
          </cell>
          <cell r="Q68">
            <v>0</v>
          </cell>
          <cell r="R68">
            <v>350000</v>
          </cell>
          <cell r="S68" t="e">
            <v>#N/A</v>
          </cell>
          <cell r="T68" t="e">
            <v>#N/A</v>
          </cell>
          <cell r="U68" t="e">
            <v>#N/A</v>
          </cell>
          <cell r="V68" t="e">
            <v>#N/A</v>
          </cell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</row>
        <row r="69">
          <cell r="B69">
            <v>958</v>
          </cell>
          <cell r="C69" t="str">
            <v>Infrastruktura</v>
          </cell>
          <cell r="D69" t="str">
            <v>Servery</v>
          </cell>
          <cell r="E69" t="str">
            <v>FortiGate - kyber útok od 2025 nahradí CISCO - úspora v dalších letech  - vyčíslíme</v>
          </cell>
          <cell r="F69"/>
          <cell r="G69"/>
          <cell r="H69">
            <v>660000</v>
          </cell>
          <cell r="I69" t="e">
            <v>#N/A</v>
          </cell>
          <cell r="J69">
            <v>0</v>
          </cell>
          <cell r="K69" t="e">
            <v>#N/A</v>
          </cell>
          <cell r="L69">
            <v>600000</v>
          </cell>
          <cell r="M69">
            <v>0</v>
          </cell>
          <cell r="N69">
            <v>600000</v>
          </cell>
          <cell r="O69">
            <v>0</v>
          </cell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</row>
        <row r="70">
          <cell r="B70">
            <v>959</v>
          </cell>
          <cell r="C70" t="str">
            <v>aplikace</v>
          </cell>
          <cell r="D70" t="str">
            <v>Active Directory</v>
          </cell>
          <cell r="E70" t="str">
            <v>propojení AD a magionu</v>
          </cell>
          <cell r="F70"/>
          <cell r="G70" t="str">
            <v>Rozvojový</v>
          </cell>
          <cell r="H70">
            <v>300000</v>
          </cell>
          <cell r="I70"/>
          <cell r="J70">
            <v>0</v>
          </cell>
          <cell r="K70"/>
          <cell r="L70">
            <v>0</v>
          </cell>
          <cell r="M70" t="e">
            <v>#N/A</v>
          </cell>
          <cell r="N70" t="e">
            <v>#N/A</v>
          </cell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</row>
        <row r="71">
          <cell r="B71">
            <v>960</v>
          </cell>
          <cell r="C71"/>
          <cell r="D71"/>
          <cell r="E71" t="str">
            <v>Spoj s kapacitou 1Gbs by sel vyresit napr. technologii CERAGON v pasmu 80GHz</v>
          </cell>
          <cell r="F71"/>
          <cell r="G71"/>
          <cell r="H71">
            <v>150000</v>
          </cell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ah"/>
      <sheetName val="Rizika"/>
      <sheetName val="Celkový přehled"/>
      <sheetName val="Výnosy srovnání"/>
      <sheetName val="Výnosy"/>
      <sheetName val="Rozpočet 24,25"/>
      <sheetName val="mzdy 2025"/>
      <sheetName val="Ateliéry 2025"/>
      <sheetName val="ateliery kalkul.2025"/>
      <sheetName val="Pracoviště 2025"/>
      <sheetName val="2025-1"/>
      <sheetName val="2025"/>
      <sheetName val="Rozpis 2024"/>
      <sheetName val="požadavky 2025"/>
      <sheetName val="Požadavky 2024"/>
      <sheetName val="Požadavky 2023 projednané"/>
      <sheetName val="Požadavky 2024 projednané"/>
      <sheetName val="Požadavky 2023-pův"/>
      <sheetName val="Orgány-komise-repre"/>
      <sheetName val="RUV"/>
      <sheetName val="ateliery kalkul.2023"/>
      <sheetName val="NPO-mzdy 2024"/>
      <sheetName val="Mzdové výdaje 2024"/>
      <sheetName val="Mzdy 24"/>
      <sheetName val="srovnání mezd VVŠ"/>
      <sheetName val="Mzdové výdaje - přehled"/>
      <sheetName val="mzdy 2023"/>
      <sheetName val="Ateliéry 2022"/>
      <sheetName val="mzdy výpočet 2023"/>
      <sheetName val="změny oproti 16.4.25"/>
      <sheetName val="Ostatní významné náklady"/>
      <sheetName val="FRIM"/>
      <sheetName val="Sociální fond"/>
      <sheetName val="Fondy 2024"/>
      <sheetName val="Fondy 2024-vývoj"/>
      <sheetName val="Analýza fondů-alokace"/>
      <sheetName val="FRIM vlastní 2025"/>
      <sheetName val="Doplňková činnost"/>
      <sheetName val="Mzdové náklady 2022"/>
      <sheetName val="WEB"/>
      <sheetName val="Plán oprav 24"/>
      <sheetName val="Plán oprav 23"/>
      <sheetName val="Plán ITO 2023"/>
      <sheetName val="INV Plán 2025"/>
      <sheetName val="INV plán 2024"/>
      <sheetName val="INV plán 23"/>
      <sheetName val="RESTNOVÉMAT"/>
      <sheetName val="IT 2025"/>
      <sheetName val="ENERGIE"/>
      <sheetName val="DKRVO"/>
      <sheetName val="PPSŘ"/>
      <sheetName val="PPROVŠ"/>
      <sheetName val="SVV"/>
      <sheetName val="VZZ 2024"/>
      <sheetName val="VZZ 2023"/>
      <sheetName val="VZZ 22"/>
      <sheetName val="R24"/>
      <sheetName val="R23"/>
      <sheetName val="R22"/>
      <sheetName val="SDV"/>
      <sheetName val="OP JAK II"/>
      <sheetName val="List3"/>
      <sheetName val="Stipendia 2024 "/>
      <sheetName val="DOTACE - přehled 2023"/>
      <sheetName val="PPSŘ 2025"/>
      <sheetName val="PPSŘ  2024"/>
      <sheetName val="CRP"/>
      <sheetName val="TGS a VGS 2024 a 2025"/>
      <sheetName val="Diplom.výstava"/>
      <sheetName val="RVO 2024"/>
      <sheetName val="FONDY"/>
      <sheetName val="GAVU"/>
      <sheetName val="PPROVŠ (CRP) 2024"/>
      <sheetName val="PPSŘ 2024"/>
      <sheetName val="MK NPO"/>
      <sheetName val="MK, SF, MHMP"/>
      <sheetName val="orgány a platformy"/>
      <sheetName val="Největší výdaje"/>
      <sheetName val="budovy a nájmy"/>
      <sheetName val="Výměna svítidel"/>
      <sheetName val="Plán oprav 22"/>
      <sheetName val="Plán ITO vyhodnocení 22"/>
      <sheetName val="INV.Plán-Zajíc"/>
      <sheetName val="Nákladové položky-výběr"/>
      <sheetName val="AiC"/>
      <sheetName val="Nábyteček"/>
      <sheetName val="EDRF + ESF"/>
      <sheetName val="OP JAK PhD.INFRA"/>
      <sheetName val="OP JAK 2024 "/>
      <sheetName val="Doktorandi"/>
      <sheetName val="OP JAK - požadavky středisek"/>
      <sheetName val="NPO-majetek"/>
      <sheetName val="Majetek"/>
      <sheetName val="Majetek 2022"/>
      <sheetName val="VZZ 21"/>
      <sheetName val="Majetek ESF 2022"/>
      <sheetName val="R21"/>
      <sheetName val="Ukrajina 2024"/>
      <sheetName val="UKRAJINA 2023"/>
      <sheetName val="List1"/>
      <sheetName val="NPO"/>
      <sheetName val="Poznámky"/>
      <sheetName val="projednání rozpočtu"/>
      <sheetName val="Veletržn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A27" t="str">
            <v>30325</v>
          </cell>
          <cell r="C27" t="str">
            <v xml:space="preserve">RMUD-Restaurovani moderních uměleckých del z netradičních materialu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zpočet 2017"/>
      <sheetName val="Rozpočet 2021"/>
      <sheetName val="vyúčtování MŠMT20"/>
      <sheetName val="Rozpočet 2019"/>
      <sheetName val="Poznámky"/>
      <sheetName val="EU fondy+EPC"/>
      <sheetName val="MŠMT 133 220"/>
      <sheetName val="Institucionální plány (2019)"/>
      <sheetName val="IP (2020)"/>
      <sheetName val="CRP (2021)"/>
      <sheetName val="CRP (2019)"/>
      <sheetName val="SVV (2020,2021)"/>
      <sheetName val="SVV (2019)"/>
      <sheetName val="GAČR (2019)"/>
      <sheetName val="GAČR (2020)"/>
      <sheetName val="IPodpora (2019)"/>
      <sheetName val="I Podpora 2020"/>
      <sheetName val="MK (2019)"/>
      <sheetName val="MK (2020)"/>
      <sheetName val="MHMP (2019)"/>
      <sheetName val="MHMP (2020)"/>
      <sheetName val="MČP7(2019)"/>
      <sheetName val="MČP7 (2020)"/>
      <sheetName val="MČ P7 (2019)"/>
      <sheetName val="ERASMUS DZS (2019)"/>
      <sheetName val="ERASMUS DZS(2021)"/>
      <sheetName val="Zásady pro rozpočet ateliérů"/>
      <sheetName val="Kalkulace rozpočtu ateliérů "/>
      <sheetName val="Kalkulace atelierů (2020)"/>
      <sheetName val="Střediska včetně ateliérů 2018"/>
      <sheetName val="Střediska včetně atelierů 2019"/>
      <sheetName val="IT Rozpočet"/>
      <sheetName val="Střediska včetně atelierů 2020"/>
      <sheetName val="plán oprav 15.2.21"/>
      <sheetName val="Střediska - srovnání"/>
      <sheetName val="Plán 2021 a Střednědobý výhled"/>
      <sheetName val="Výkaz zisku a ztrát 2017"/>
      <sheetName val="Výsledovka 2020 1111"/>
      <sheetName val="Výkaz zisku a ztrát 2018"/>
      <sheetName val="Výkaz zisku a ztrát 2020"/>
      <sheetName val="Rozvaha 2018"/>
      <sheetName val="Rozvaha 2020"/>
      <sheetName val="Vytvořené fondy"/>
      <sheetName val="Rozvaha 2017"/>
      <sheetName val="Vývoj 2014-2018"/>
      <sheetName val="Plán 2017  - skutečnost 2017"/>
      <sheetName val="List1"/>
      <sheetName val="GAVU + KAVU + Středy na AVU"/>
      <sheetName val="VIZUÁL"/>
      <sheetName val="Diplomanti 2018"/>
      <sheetName val="Diplomanti 2018 - škol. náklady"/>
      <sheetName val="Oddělení komunikace s veř."/>
      <sheetName val="Fondy"/>
      <sheetName val="Digilab"/>
      <sheetName val="Truhl_Štuk_Zámečníci"/>
      <sheetName val="studijní"/>
      <sheetName val="Mzdy"/>
      <sheetName val="Rozšířená provozní doba"/>
      <sheetName val="Odpisy"/>
      <sheetName val="Mzdové náklady"/>
      <sheetName val="DČ 2017"/>
      <sheetName val="30301"/>
      <sheetName val="30302"/>
      <sheetName val="30303"/>
      <sheetName val="30304"/>
      <sheetName val="30305"/>
      <sheetName val="30306"/>
      <sheetName val="30307"/>
      <sheetName val="30308"/>
      <sheetName val="30309"/>
      <sheetName val="30310"/>
      <sheetName val="30311"/>
      <sheetName val="30312"/>
      <sheetName val="30313"/>
      <sheetName val="30314"/>
      <sheetName val="30315"/>
      <sheetName val="30316"/>
      <sheetName val="30317"/>
      <sheetName val="10100"/>
      <sheetName val="20100"/>
      <sheetName val="20200"/>
      <sheetName val="20302"/>
      <sheetName val="20400"/>
      <sheetName val="úprava 30316 a 30317"/>
    </sheetNames>
    <sheetDataSet>
      <sheetData sheetId="0" refreshError="1"/>
      <sheetData sheetId="1" refreshError="1">
        <row r="11">
          <cell r="G11">
            <v>100597312</v>
          </cell>
        </row>
        <row r="36">
          <cell r="A36" t="str">
            <v>Fond umělecké činnosti /RUV pro umělecké školy/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ozpočet 2017"/>
      <sheetName val="IP133220"/>
      <sheetName val="úvaha 14.21.22"/>
      <sheetName val="Rozpočet 2021"/>
      <sheetName val="Příspěvek souhrn"/>
      <sheetName val="Úspory"/>
      <sheetName val="Střediska včetně atelierů 2022"/>
      <sheetName val="Stipendia"/>
      <sheetName val="Výdaje škola+bud+dod 2021"/>
      <sheetName val="Výdaje škola+bud+dodavatelé_20"/>
      <sheetName val="Mzdy vývoj 21"/>
      <sheetName val="Mzdy vývoj 20"/>
      <sheetName val="fondy 2"/>
      <sheetName val="Významné náklady"/>
      <sheetName val="vyúčtování MŠMT20"/>
      <sheetName val="Rozpočet 2019"/>
      <sheetName val="Poznámky"/>
      <sheetName val="Celkové požadavky pracovišť"/>
      <sheetName val="EU fondy+EPC"/>
      <sheetName val="MŠMT 133 220"/>
      <sheetName val="Institucionální plány (2019)"/>
      <sheetName val="IP (2020)"/>
      <sheetName val="CRP (2021)"/>
      <sheetName val="CRP (2019)"/>
      <sheetName val="SVV (2020,2021)"/>
      <sheetName val="SVV (2019)"/>
      <sheetName val="GAČR (2019)"/>
      <sheetName val="GAČR (2020)"/>
      <sheetName val="IPodpora (2019)"/>
      <sheetName val="I Podpora 2020"/>
      <sheetName val="MK (2019)"/>
      <sheetName val="MK (2020)"/>
      <sheetName val="MHMP (2019)"/>
      <sheetName val="MHMP (2020)"/>
      <sheetName val="MČP7(2019)"/>
      <sheetName val="MČP7 (2020)"/>
      <sheetName val="MČ P7 (2019)"/>
      <sheetName val="ERASMUS DZS (2019)"/>
      <sheetName val="ERASMUS DZS(2021)"/>
      <sheetName val="Zásady pro rozpočet ateliérů"/>
      <sheetName val="Kalkulace rozpočtu ateliérů "/>
      <sheetName val="Kalkulace atelierů (2020)"/>
      <sheetName val="Střediska včetně ateliérů 2018"/>
      <sheetName val="Střediska včetně atelierů 2019"/>
      <sheetName val="IT Rozpočet"/>
      <sheetName val="střediska 2020"/>
      <sheetName val="plán oprav 15.2.21"/>
      <sheetName val="Střediska - srovnání"/>
      <sheetName val="Plán 2021 a Střednědobý výhled"/>
      <sheetName val="Výkaz zisku a ztrát 2017"/>
      <sheetName val="INV22"/>
      <sheetName val="INV21"/>
      <sheetName val="INV celkem"/>
      <sheetName val="Výsledovka 2021"/>
      <sheetName val="Výkaz zisku a ztrát 2018"/>
      <sheetName val="Rozvaha 2021"/>
      <sheetName val="FONDY-aktuál"/>
      <sheetName val="úspory -přehled 21"/>
      <sheetName val="Výkaz zisku a ztrát 2020"/>
      <sheetName val="Rozvaha 2018"/>
      <sheetName val="stručná info"/>
      <sheetName val="Rozvaha 2020"/>
      <sheetName val="VZoH"/>
      <sheetName val="střednědobý výhled AVU"/>
      <sheetName val="1111-střednědobý výhled"/>
      <sheetName val="Vytvořené fondy"/>
      <sheetName val="List3"/>
      <sheetName val="Rozvaha 2017"/>
      <sheetName val="Vývoj 2014-2018"/>
      <sheetName val="Plán 2017  - skutečnost 2017"/>
      <sheetName val="List1"/>
      <sheetName val="GAVU + KAVU + Středy na AVU"/>
      <sheetName val="VIZUÁL"/>
      <sheetName val="Diplomanti 2018"/>
      <sheetName val="Diplomanti 2018 - škol. náklady"/>
      <sheetName val="Oddělení komunikace s veř."/>
      <sheetName val="Fondy"/>
      <sheetName val="Digilab"/>
      <sheetName val="Truhl_Štuk_Zámečníci"/>
      <sheetName val="studijní"/>
      <sheetName val="Mzdy"/>
      <sheetName val="Rozšířená provozní doba"/>
      <sheetName val="Odpisy"/>
      <sheetName val="Mzdové náklady"/>
      <sheetName val="DČ 2017"/>
      <sheetName val="30301"/>
      <sheetName val="30302"/>
      <sheetName val="30303"/>
      <sheetName val="30304"/>
      <sheetName val="30305"/>
      <sheetName val="30306"/>
      <sheetName val="30307"/>
      <sheetName val="30308"/>
      <sheetName val="30309"/>
      <sheetName val="30310"/>
      <sheetName val="30311"/>
      <sheetName val="30312"/>
      <sheetName val="30313"/>
      <sheetName val="30314"/>
      <sheetName val="30315"/>
      <sheetName val="30316"/>
      <sheetName val="30317"/>
      <sheetName val="10100"/>
      <sheetName val="20100"/>
      <sheetName val="20200"/>
      <sheetName val="20302"/>
      <sheetName val="20400"/>
      <sheetName val="úprava 30316 a 30317"/>
    </sheetNames>
    <sheetDataSet>
      <sheetData sheetId="0" refreshError="1"/>
      <sheetData sheetId="1" refreshError="1"/>
      <sheetData sheetId="2" refreshError="1"/>
      <sheetData sheetId="3" refreshError="1">
        <row r="12">
          <cell r="L12">
            <v>103413967</v>
          </cell>
        </row>
        <row r="13">
          <cell r="H13">
            <v>7699582</v>
          </cell>
          <cell r="L13">
            <v>7186199.3819662295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>
        <row r="5">
          <cell r="Y5">
            <v>6200000</v>
          </cell>
        </row>
        <row r="6">
          <cell r="Y6">
            <v>6000000</v>
          </cell>
        </row>
        <row r="8">
          <cell r="Y8">
            <v>3500000</v>
          </cell>
        </row>
        <row r="9">
          <cell r="Y9">
            <v>150000</v>
          </cell>
        </row>
        <row r="10">
          <cell r="Y10">
            <v>0</v>
          </cell>
        </row>
        <row r="11">
          <cell r="Y11">
            <v>13694980</v>
          </cell>
        </row>
        <row r="12">
          <cell r="Y12">
            <v>71617148.682983607</v>
          </cell>
        </row>
        <row r="15">
          <cell r="Y15">
            <v>6900</v>
          </cell>
          <cell r="AA15">
            <v>10350</v>
          </cell>
        </row>
        <row r="16">
          <cell r="Y16">
            <v>2000</v>
          </cell>
          <cell r="AA16">
            <v>2000</v>
          </cell>
        </row>
        <row r="17">
          <cell r="Y17">
            <v>0</v>
          </cell>
          <cell r="AA17">
            <v>0</v>
          </cell>
        </row>
        <row r="18">
          <cell r="Y18">
            <v>0</v>
          </cell>
          <cell r="AA18">
            <v>0</v>
          </cell>
        </row>
        <row r="19">
          <cell r="Y19">
            <v>0</v>
          </cell>
          <cell r="AA19">
            <v>500</v>
          </cell>
        </row>
        <row r="20">
          <cell r="Y20">
            <v>15939.546</v>
          </cell>
          <cell r="AA20">
            <v>15939.546</v>
          </cell>
        </row>
        <row r="21">
          <cell r="Y21">
            <v>0</v>
          </cell>
          <cell r="AA21">
            <v>0</v>
          </cell>
        </row>
        <row r="22">
          <cell r="Y22">
            <v>4500000</v>
          </cell>
        </row>
        <row r="23">
          <cell r="Y23">
            <v>4000000</v>
          </cell>
        </row>
        <row r="24">
          <cell r="Y24">
            <v>0</v>
          </cell>
        </row>
        <row r="25">
          <cell r="Y25">
            <v>0</v>
          </cell>
        </row>
        <row r="26">
          <cell r="Y26">
            <v>0</v>
          </cell>
        </row>
        <row r="27">
          <cell r="Y27">
            <v>0</v>
          </cell>
        </row>
        <row r="28">
          <cell r="Y28">
            <v>0</v>
          </cell>
        </row>
        <row r="29">
          <cell r="Y29">
            <v>0</v>
          </cell>
        </row>
        <row r="30">
          <cell r="Y30">
            <v>109686968.22898361</v>
          </cell>
        </row>
        <row r="32">
          <cell r="Y32">
            <v>0</v>
          </cell>
        </row>
        <row r="33">
          <cell r="Y33">
            <v>0</v>
          </cell>
        </row>
        <row r="34">
          <cell r="Y34">
            <v>0</v>
          </cell>
        </row>
        <row r="35">
          <cell r="Y35"/>
        </row>
        <row r="36">
          <cell r="Y36">
            <v>0</v>
          </cell>
        </row>
        <row r="37">
          <cell r="Y37">
            <v>106.02900000000001</v>
          </cell>
        </row>
        <row r="38">
          <cell r="Y38">
            <v>0</v>
          </cell>
        </row>
        <row r="39">
          <cell r="Y39">
            <v>0</v>
          </cell>
        </row>
        <row r="40">
          <cell r="Y40">
            <v>0</v>
          </cell>
        </row>
        <row r="43">
          <cell r="Y43">
            <v>110600272.029</v>
          </cell>
        </row>
        <row r="45">
          <cell r="Y45">
            <v>913303.8000163883</v>
          </cell>
        </row>
        <row r="47">
          <cell r="Y47">
            <v>109686968.22898361</v>
          </cell>
        </row>
        <row r="48">
          <cell r="Y48">
            <v>110600272.029</v>
          </cell>
        </row>
        <row r="49">
          <cell r="Y49">
            <v>913303.8000163883</v>
          </cell>
        </row>
      </sheetData>
      <sheetData sheetId="65" refreshError="1"/>
      <sheetData sheetId="66" refreshError="1">
        <row r="12">
          <cell r="I12">
            <v>185303.26</v>
          </cell>
          <cell r="J12">
            <v>1</v>
          </cell>
        </row>
        <row r="15">
          <cell r="F15">
            <v>80319.16</v>
          </cell>
        </row>
        <row r="44">
          <cell r="F44">
            <v>146383923.61000001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1"/>
      <sheetName val="List2"/>
    </sheetNames>
    <sheetDataSet>
      <sheetData sheetId="0" refreshError="1">
        <row r="12">
          <cell r="J12">
            <v>148648</v>
          </cell>
        </row>
        <row r="14">
          <cell r="J14">
            <v>45684</v>
          </cell>
        </row>
        <row r="20">
          <cell r="J20">
            <v>573540</v>
          </cell>
        </row>
        <row r="24">
          <cell r="J24">
            <v>161468</v>
          </cell>
        </row>
        <row r="26">
          <cell r="J26">
            <v>40000</v>
          </cell>
        </row>
        <row r="28">
          <cell r="J28">
            <v>355522.2</v>
          </cell>
        </row>
        <row r="30">
          <cell r="J30">
            <v>99000</v>
          </cell>
        </row>
        <row r="32">
          <cell r="J32">
            <v>0</v>
          </cell>
        </row>
        <row r="34">
          <cell r="J34">
            <v>222397</v>
          </cell>
        </row>
        <row r="36">
          <cell r="J36">
            <v>0</v>
          </cell>
        </row>
        <row r="38">
          <cell r="J38">
            <v>0</v>
          </cell>
        </row>
        <row r="40">
          <cell r="J40">
            <v>76381.25</v>
          </cell>
        </row>
        <row r="42">
          <cell r="J42">
            <v>0</v>
          </cell>
        </row>
        <row r="44">
          <cell r="J44">
            <v>0</v>
          </cell>
        </row>
        <row r="46">
          <cell r="J46">
            <v>0</v>
          </cell>
        </row>
        <row r="48">
          <cell r="J48">
            <v>0</v>
          </cell>
        </row>
        <row r="50">
          <cell r="J50">
            <v>0</v>
          </cell>
        </row>
        <row r="52">
          <cell r="J52">
            <v>0</v>
          </cell>
        </row>
        <row r="54">
          <cell r="J54"/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ah"/>
      <sheetName val="Rizika"/>
      <sheetName val="Celkový přehled"/>
      <sheetName val="Výnosy srovnání"/>
      <sheetName val="Výnosy"/>
      <sheetName val="Rozpočet 24,25"/>
      <sheetName val="mzdy 2025"/>
      <sheetName val="Ateliéry 2025"/>
      <sheetName val="ateliery kalkul.2025"/>
      <sheetName val="Pracoviště 2025"/>
      <sheetName val="2025-1"/>
      <sheetName val="2025"/>
      <sheetName val="Rozpis 2024"/>
      <sheetName val="požadavky 2025"/>
      <sheetName val="Požadavky 2024"/>
      <sheetName val="Požadavky 2023 projednané"/>
      <sheetName val="Požadavky 2024 projednané"/>
      <sheetName val="Požadavky 2023-pův"/>
      <sheetName val="Orgány-komise-repre"/>
      <sheetName val="RUV"/>
      <sheetName val="ateliery kalkul.2023"/>
      <sheetName val="NPO-mzdy 2024"/>
      <sheetName val="Mzdové výdaje 2024"/>
      <sheetName val="Mzdy 24"/>
      <sheetName val="srovnání mezd VVŠ"/>
      <sheetName val="Mzdové výdaje - přehled"/>
      <sheetName val="mzdy 2023"/>
      <sheetName val="Ateliéry 2022"/>
      <sheetName val="mzdy výpočet 2023"/>
      <sheetName val="změny oproti 16.4.25"/>
      <sheetName val="Ostatní významné náklady"/>
      <sheetName val="FRIM"/>
      <sheetName val="Sociální fond"/>
      <sheetName val="Fondy 2024"/>
      <sheetName val="Fondy 2024-vývoj"/>
      <sheetName val="Analýza fondů-alokace"/>
      <sheetName val="FRIM vlastní 2025"/>
      <sheetName val="Doplňková činnost"/>
      <sheetName val="Mzdové náklady 2022"/>
      <sheetName val="WEB"/>
      <sheetName val="Plán oprav 24"/>
      <sheetName val="Plán oprav 23"/>
      <sheetName val="Plán ITO 2023"/>
      <sheetName val="INV Plán 2025"/>
      <sheetName val="INV plán 2024"/>
      <sheetName val="INV plán 23"/>
      <sheetName val="RESTNOVÉMAT"/>
      <sheetName val="IT 2025"/>
      <sheetName val="ENERGIE"/>
      <sheetName val="DKRVO"/>
      <sheetName val="PPSŘ"/>
      <sheetName val="PPROVŠ"/>
      <sheetName val="SVV"/>
      <sheetName val="VZZ 2024"/>
      <sheetName val="VZZ 2023"/>
      <sheetName val="VZZ 22"/>
      <sheetName val="R24"/>
      <sheetName val="R23"/>
      <sheetName val="R22"/>
      <sheetName val="SDV"/>
      <sheetName val="OP JAK II"/>
      <sheetName val="List3"/>
      <sheetName val="Stipendia 2024 "/>
      <sheetName val="DOTACE - přehled 2023"/>
      <sheetName val="PPSŘ 2025"/>
      <sheetName val="PPSŘ  2024"/>
      <sheetName val="CRP"/>
      <sheetName val="TGS a VGS 2024 a 2025"/>
      <sheetName val="Diplom.výstava"/>
      <sheetName val="RVO 2024"/>
      <sheetName val="FONDY"/>
      <sheetName val="GAVU"/>
      <sheetName val="PPROVŠ (CRP) 2024"/>
      <sheetName val="PPSŘ 2024"/>
      <sheetName val="MK NPO"/>
      <sheetName val="MK, SF, MHMP"/>
      <sheetName val="orgány a platformy"/>
      <sheetName val="Největší výdaje"/>
      <sheetName val="budovy a nájmy"/>
      <sheetName val="Výměna svítidel"/>
      <sheetName val="Plán oprav 22"/>
      <sheetName val="Plán ITO vyhodnocení 22"/>
      <sheetName val="INV.Plán-Zajíc"/>
      <sheetName val="Nákladové položky-výběr"/>
      <sheetName val="AiC"/>
      <sheetName val="Nábyteček"/>
      <sheetName val="EDRF + ESF"/>
      <sheetName val="OP JAK PhD.INFRA"/>
      <sheetName val="OP JAK 2024 "/>
      <sheetName val="Doktorandi"/>
      <sheetName val="OP JAK - požadavky středisek"/>
      <sheetName val="NPO-majetek"/>
      <sheetName val="Majetek"/>
      <sheetName val="Majetek 2022"/>
      <sheetName val="VZZ 21"/>
      <sheetName val="Majetek ESF 2022"/>
      <sheetName val="R21"/>
      <sheetName val="Ukrajina 2024"/>
      <sheetName val="UKRAJINA 2023"/>
      <sheetName val="List1"/>
      <sheetName val="NPO"/>
      <sheetName val="Poznámky"/>
      <sheetName val="projednání rozpočtu"/>
      <sheetName val="Veletržní"/>
    </sheetNames>
    <sheetDataSet>
      <sheetData sheetId="0"/>
      <sheetData sheetId="1"/>
      <sheetData sheetId="2"/>
      <sheetData sheetId="3">
        <row r="47">
          <cell r="C47">
            <v>197012788.45999998</v>
          </cell>
          <cell r="G47">
            <v>184742475.56859505</v>
          </cell>
        </row>
      </sheetData>
      <sheetData sheetId="4">
        <row r="33">
          <cell r="O33">
            <v>144220605</v>
          </cell>
        </row>
      </sheetData>
      <sheetData sheetId="5"/>
      <sheetData sheetId="6">
        <row r="3">
          <cell r="M3">
            <v>121241424.56747229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6">
          <cell r="J26">
            <v>109650989.70688561</v>
          </cell>
        </row>
      </sheetData>
      <sheetData sheetId="24"/>
      <sheetData sheetId="25"/>
      <sheetData sheetId="26">
        <row r="4">
          <cell r="L4">
            <v>102818365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7">
          <cell r="S47">
            <v>5425</v>
          </cell>
        </row>
      </sheetData>
      <sheetData sheetId="34"/>
      <sheetData sheetId="35"/>
      <sheetData sheetId="36">
        <row r="4">
          <cell r="B4">
            <v>5453000</v>
          </cell>
        </row>
      </sheetData>
      <sheetData sheetId="37">
        <row r="37">
          <cell r="C37">
            <v>3850</v>
          </cell>
        </row>
      </sheetData>
      <sheetData sheetId="38">
        <row r="11">
          <cell r="J11">
            <v>93431125.3493976</v>
          </cell>
        </row>
      </sheetData>
      <sheetData sheetId="39"/>
      <sheetData sheetId="40"/>
      <sheetData sheetId="41">
        <row r="45">
          <cell r="V45">
            <v>6065000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8">
          <cell r="M8">
            <v>12902848.878899999</v>
          </cell>
          <cell r="O8">
            <v>10385330.205799999</v>
          </cell>
          <cell r="Q8">
            <v>15226771.08</v>
          </cell>
        </row>
      </sheetData>
      <sheetData sheetId="49"/>
      <sheetData sheetId="50"/>
      <sheetData sheetId="51"/>
      <sheetData sheetId="52"/>
      <sheetData sheetId="53"/>
      <sheetData sheetId="54"/>
      <sheetData sheetId="55">
        <row r="67">
          <cell r="F67">
            <v>2105</v>
          </cell>
        </row>
        <row r="71">
          <cell r="F71">
            <v>1755</v>
          </cell>
        </row>
      </sheetData>
      <sheetData sheetId="56"/>
      <sheetData sheetId="57"/>
      <sheetData sheetId="58"/>
      <sheetData sheetId="59">
        <row r="38">
          <cell r="AT38">
            <v>10300000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21 28.2-22"/>
      <sheetName val="V20"/>
      <sheetName val="V21-20 srov"/>
      <sheetName val="MŠMT 22"/>
      <sheetName val="Výnosy"/>
      <sheetName val="D+P 21"/>
      <sheetName val="R21"/>
      <sheetName val="2021"/>
      <sheetName val="Ateliéry 2021+22"/>
      <sheetName val="List7"/>
      <sheetName val="FONDY"/>
      <sheetName val="Ateliéry 22"/>
      <sheetName val="Osts.prac.2021"/>
      <sheetName val="střed.výhl.21-24"/>
      <sheetName val="INV.PLAN"/>
      <sheetName val="2020"/>
      <sheetName val="List2"/>
      <sheetName val="511-opravy 22"/>
      <sheetName val="511-opravy"/>
      <sheetName val="Ukrajina"/>
      <sheetName val="Budovy a škola"/>
      <sheetName val="přehled"/>
      <sheetName val="Odhad_14.2.22"/>
      <sheetName val="Rozpočet 22"/>
      <sheetName val="Energie"/>
      <sheetName val="AiC"/>
      <sheetName val="30317"/>
      <sheetName val="ERDF a ESF"/>
      <sheetName val="Nábyteček"/>
      <sheetName val="MAJE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9">
          <cell r="I29">
            <v>226738.26</v>
          </cell>
        </row>
        <row r="35">
          <cell r="I35">
            <v>5539105.1100000003</v>
          </cell>
        </row>
        <row r="42">
          <cell r="I42">
            <v>185412.17</v>
          </cell>
        </row>
      </sheetData>
      <sheetData sheetId="8" refreshError="1"/>
      <sheetData sheetId="9" refreshError="1"/>
      <sheetData sheetId="10" refreshError="1">
        <row r="19">
          <cell r="R19">
            <v>4400000.0000000075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9">
          <cell r="J39">
            <v>3518500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Výnosy zpráva"/>
      <sheetName val="Výnosy"/>
      <sheetName val="Pracoviště"/>
      <sheetName val="Ateliéry"/>
      <sheetName val="Mzdové náklady"/>
      <sheetName val="WEB"/>
      <sheetName val="Ostatní významné náklady"/>
      <sheetName val="Rozpočet 2022"/>
      <sheetName val="FONDY"/>
      <sheetName val="Plán oprav"/>
      <sheetName val="Plán ITO"/>
      <sheetName val="INV.Plán"/>
      <sheetName val="Nákladové položky-výběr"/>
      <sheetName val="ENERGIE"/>
      <sheetName val="Nábyteček"/>
      <sheetName val="EDRF + ESF"/>
      <sheetName val="Majetek"/>
      <sheetName val="VZZ 21"/>
      <sheetName val="R21"/>
      <sheetName val="UKRAJINA"/>
      <sheetName val="SDV"/>
      <sheetName val="List1"/>
      <sheetName val="NPO"/>
      <sheetName val="Veletržn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4">
          <cell r="AE34">
            <v>3037337.72</v>
          </cell>
        </row>
        <row r="35">
          <cell r="AE35">
            <v>276486.33</v>
          </cell>
        </row>
        <row r="38">
          <cell r="AE38">
            <v>22231407.950000007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Rozpis rozpočtu"/>
      <sheetName val="Rizika"/>
      <sheetName val="Celkový přehled"/>
      <sheetName val="Výnosy srovnání"/>
      <sheetName val="Výnosy"/>
      <sheetName val="Pracoviště"/>
      <sheetName val="Ateliéry 2023"/>
      <sheetName val="Požadavky projednané"/>
      <sheetName val="Požadavky 2023-pův"/>
      <sheetName val="Orgány-komise-repre"/>
      <sheetName val="Ateliéry kalkulace"/>
      <sheetName val="Mzdové výdaje 2023"/>
      <sheetName val="Mzdové výdaje - přehled"/>
      <sheetName val="mzdy 2023"/>
      <sheetName val="Ostatní významné náklady"/>
      <sheetName val="Ateliéry 2022"/>
      <sheetName val="mzdy výpočet 2023"/>
      <sheetName val="Rozpočet 2022 a 23"/>
      <sheetName val="Fondy 2023"/>
      <sheetName val="Doplňková činnost"/>
      <sheetName val="Mzdové náklady 2022"/>
      <sheetName val="WEB"/>
      <sheetName val="Plán oprav 23"/>
      <sheetName val="Plán ITO 2023"/>
      <sheetName val="INV plán 23"/>
      <sheetName val="ENERGIE"/>
      <sheetName val="VZZ 22"/>
      <sheetName val="R22"/>
      <sheetName val="SDV"/>
      <sheetName val="Stipendia "/>
      <sheetName val="DOTACE - přehled"/>
      <sheetName val="PPSŘ"/>
      <sheetName val="CRP"/>
      <sheetName val="TGS a VGS"/>
      <sheetName val="Diplom.výstava"/>
      <sheetName val="RVO"/>
      <sheetName val="SVV"/>
      <sheetName val="FONDY"/>
      <sheetName val="GAVU"/>
      <sheetName val="orgány a platformy"/>
      <sheetName val="Největší výdaje"/>
      <sheetName val="budovy a nájmy"/>
      <sheetName val="Výměna svítidel"/>
      <sheetName val="Plán oprav 22"/>
      <sheetName val="Plán ITO vyhodnocení 22"/>
      <sheetName val="INV.Plán-Zajíc"/>
      <sheetName val="Nákladové položky-výběr"/>
      <sheetName val="AiC"/>
      <sheetName val="Nábyteček"/>
      <sheetName val="EDRF + ESF"/>
      <sheetName val="OP JAK PhD.INFRA"/>
      <sheetName val="OP JAK"/>
      <sheetName val="NPO-majetek"/>
      <sheetName val="Majetek"/>
      <sheetName val="Majetek 2022"/>
      <sheetName val="VZZ 21"/>
      <sheetName val="Majetek ESF 2022"/>
      <sheetName val="R21"/>
      <sheetName val="UKRAJINA"/>
      <sheetName val="List1"/>
      <sheetName val="NPO"/>
      <sheetName val="Poznámky"/>
      <sheetName val="projednání rozpočtu"/>
      <sheetName val="Veletržn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4">
          <cell r="AH44">
            <v>172255605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omáš Kukla" id="{8DBCB7AB-901E-49DD-93D7-7EFA7A20F71B}" userId="tomas.kukla@avu.cz" providerId="PeoplePicker"/>
  <person displayName="Mrázek Evžen" id="{D88FB33E-FF3D-4166-8B6D-ABA80380033A}" userId="S::evzen.mrazek@avu.cz::1ba87027-5d36-4d36-b541-abffa3556505" providerId="AD"/>
  <person displayName="Kuchař Tomáš" id="{978E1808-C25F-48BD-BA00-B25D9AB93280}" userId="S::tomas.kuchar@avu.cz::1cc3e430-8a71-47ec-bd02-f26cac840589" providerId="AD"/>
  <person displayName="Gašparín Pavel" id="{00E321FE-906E-41D4-858A-C62B06633281}" userId="S::pavel.gasparin@avu.cz::4818e886-8071-4d16-af8b-aec63a7e5772" providerId="AD"/>
  <person displayName="Zdenka Kotulánová" id="{6CF44C13-B026-41B1-ABB6-9451B48E4090}" userId="S::zdenka.kotulanova@avu.cz::19617e25-4ced-45b1-9000-ada44f8b0746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5-03-24T14:25:14.80" personId="{D88FB33E-FF3D-4166-8B6D-ABA80380033A}" id="{05CAB44F-FE07-4882-80C1-5D3277F66112}">
    <text>Kolik přijde 2025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4" dT="2026-02-19T05:51:23.36" personId="{6CF44C13-B026-41B1-ABB6-9451B48E4090}" id="{84B964C4-E017-4BA2-808E-740F7E74F2E8}">
    <text>Požadavek byl 440 tisíc, MS ověřuje</text>
  </threadedComment>
  <threadedComment ref="E12" dT="2025-03-26T09:32:17.98" personId="{D88FB33E-FF3D-4166-8B6D-ABA80380033A}" id="{4F5565AF-8CB0-49C7-A732-C5CCEC7433D4}">
    <text>Rezerva na CN zahraniční členky SR</text>
  </threadedComment>
  <threadedComment ref="I14" dT="2026-02-09T09:31:41.12" personId="{6CF44C13-B026-41B1-ABB6-9451B48E4090}" id="{2A2E578D-3F9C-475B-A881-B7B0768D8EED}">
    <text xml:space="preserve">Včetně 30 000-IT
</text>
  </threadedComment>
  <threadedComment ref="E25" dT="2025-03-27T14:11:49.86" personId="{D88FB33E-FF3D-4166-8B6D-ABA80380033A}" id="{D6A8066D-CDED-4FD3-B08E-ED6B83E0C813}">
    <text>Energie 24 1-8 nebyly v dohadu</text>
  </threadedComment>
  <threadedComment ref="E52" dT="2025-03-19T13:26:18.24" personId="{6CF44C13-B026-41B1-ABB6-9451B48E4090}" id="{A7FF4CB6-2E1D-4520-A091-946BC4134B3A}">
    <text xml:space="preserve">Bude znovu projednáno 10/2025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13" dT="2026-02-18T08:31:44.34" personId="{6CF44C13-B026-41B1-ABB6-9451B48E4090}" id="{6BA399AB-8401-40F6-8455-2E11817C91A9}">
    <text>40 tisíc z 2025m 40 tisíc základní požadavek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5" dT="2025-04-02T14:26:23.56" personId="{D88FB33E-FF3D-4166-8B6D-ABA80380033A}" id="{2B5CE268-BE91-44D3-B7D8-4411264A6DFC}">
    <text>Inflace 2,4% + dopad zvýšení úvazků 2024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Q31" dT="2025-03-28T13:16:25.42" personId="{D88FB33E-FF3D-4166-8B6D-ABA80380033A}" id="{48C29091-02E4-4059-8C2C-320796884A6C}">
    <text>Poměrně velmi přesný odhad, který lehce vychýlil vyšší růst mezd</text>
  </threadedComment>
  <threadedComment ref="AT38" dT="2025-04-07T09:18:03.36" personId="{6CF44C13-B026-41B1-ABB6-9451B48E4090}" id="{6C2C014F-E76F-477E-9423-EBBB05104376}">
    <text>NPO, Excelence, koheze</text>
  </threadedComment>
  <threadedComment ref="AT41" dT="2025-04-07T09:59:15.62" personId="{6CF44C13-B026-41B1-ABB6-9451B48E4090}" id="{5CF1D5BE-7150-4226-8BAC-788DC195B9D0}">
    <text>Za 1. kvartál bylo 200 tisíc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29" dT="2024-10-25T12:16:35.23" personId="{00E321FE-906E-41D4-858A-C62B06633281}" id="{34013761-C8A1-44D3-B424-6249BCD19BB8}">
    <text>Dotaz na @Tomáš Kukla zda furt platí</text>
    <mentions>
      <mention mentionpersonId="{8DBCB7AB-901E-49DD-93D7-7EFA7A20F71B}" mentionId="{04A14B82-7ABF-4999-A552-F03C76BC2846}" startIndex="9" length="12"/>
    </mentions>
  </threadedComment>
  <threadedComment ref="E30" dT="2024-10-25T12:18:05.54" personId="{00E321FE-906E-41D4-858A-C62B06633281}" id="{807A47CF-BAB3-4138-AE31-B53472868307}">
    <text>Symantec zrušen (bude se nahrazovat windows defenderem), Veritas nahrazen Acronisem</text>
  </threadedComment>
  <threadedComment ref="E30" dT="2025-02-17T08:36:18.45" personId="{978E1808-C25F-48BD-BA00-B25D9AB93280}" id="{4EA8C368-0A0A-4BF6-8A5B-C42FB6F4B190}" parentId="{807A47CF-BAB3-4138-AE31-B53472868307}">
    <text>Device licence jsou v rámci EES program na vyžádání
Step-UP je cca 20 EUR/1 rok rozdíl
Každopádně ve výročí je už logičtější koupit P2- cca 26 EUR/1 rok
Ceny A3 -dle soutěže
Endpoint pro server cena stejná</text>
  </threadedComment>
  <threadedComment ref="E76" dT="2025-02-25T09:02:10.87" personId="{978E1808-C25F-48BD-BA00-B25D9AB93280}" id="{023CC3A2-6C8E-4F5B-8ED3-97064AFE06DB}">
    <text>Rozvoj sítí na budově Veletržní - není dohad práce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aiserkraft.cz/bezpecnost-prace/pracovni-rukavice/nitrilove-jednorazove-rukavice-safe-light/cerna/p/M5697261/?utm_source=google&amp;utm_medium=cpc&amp;utm_campaign=PM_Jarvis-7-10&amp;utm_content=&amp;utm_term=&amp;infinity=ict2~net~gaw~cmp~PM_Jarvis-7-10~ag~~ar~~kw~~mt~&amp;gad_source=1&amp;gad_campaignid=21172657398&amp;gbraid=0AAAAADy0HkUtcpx5MhBevm9992fH1Z-m3&amp;gclid=Cj0KCQiAm9fLBhCQARIsAJoNOctcvlkxbqyNY99rOfk3GxtfTezi_0nNAA8qHEUeuP08aV-1Zd-uXcUaApu0EALw_wcB" TargetMode="External"/><Relationship Id="rId21" Type="http://schemas.openxmlformats.org/officeDocument/2006/relationships/hyperlink" Target="mailto:k.cozlovacmolikova@avu.cz" TargetMode="External"/><Relationship Id="rId42" Type="http://schemas.openxmlformats.org/officeDocument/2006/relationships/hyperlink" Target="mailto:vlasta.elmerova@avu.cz" TargetMode="External"/><Relationship Id="rId63" Type="http://schemas.openxmlformats.org/officeDocument/2006/relationships/hyperlink" Target="mailto:denisa.cirmaciova@avu.cz" TargetMode="External"/><Relationship Id="rId84" Type="http://schemas.openxmlformats.org/officeDocument/2006/relationships/hyperlink" Target="mailto:dunja.stevanovic@avu.cz" TargetMode="External"/><Relationship Id="rId138" Type="http://schemas.openxmlformats.org/officeDocument/2006/relationships/hyperlink" Target="mailto:sarka.krtkova@avu.cz" TargetMode="External"/><Relationship Id="rId159" Type="http://schemas.openxmlformats.org/officeDocument/2006/relationships/hyperlink" Target="mailto:andrea.janderova@avu.cz" TargetMode="External"/><Relationship Id="rId170" Type="http://schemas.openxmlformats.org/officeDocument/2006/relationships/hyperlink" Target="mailto:marketa.strnadova@avu.cz" TargetMode="External"/><Relationship Id="rId191" Type="http://schemas.openxmlformats.org/officeDocument/2006/relationships/hyperlink" Target="https://azwelding.eu/o-nas-2/" TargetMode="External"/><Relationship Id="rId205" Type="http://schemas.openxmlformats.org/officeDocument/2006/relationships/hyperlink" Target="mailto:pergler@avu.cz" TargetMode="External"/><Relationship Id="rId226" Type="http://schemas.openxmlformats.org/officeDocument/2006/relationships/hyperlink" Target="mailto:a.monachisa@avu.cz" TargetMode="External"/><Relationship Id="rId247" Type="http://schemas.openxmlformats.org/officeDocument/2006/relationships/hyperlink" Target="mailto:irina.gheorghe@avu.cz" TargetMode="External"/><Relationship Id="rId107" Type="http://schemas.openxmlformats.org/officeDocument/2006/relationships/hyperlink" Target="https://skolil.cz/art/31-acrystal-levny-material-s-tvrdym-povrchem/acrystal/127-sv36-hv-36" TargetMode="External"/><Relationship Id="rId11" Type="http://schemas.openxmlformats.org/officeDocument/2006/relationships/hyperlink" Target="mailto:adam.trbusek@avu.cz" TargetMode="External"/><Relationship Id="rId32" Type="http://schemas.openxmlformats.org/officeDocument/2006/relationships/hyperlink" Target="mailto:radim.langer@avu.cz" TargetMode="External"/><Relationship Id="rId53" Type="http://schemas.openxmlformats.org/officeDocument/2006/relationships/hyperlink" Target="mailto:adam.pokorny@avu.cz" TargetMode="External"/><Relationship Id="rId74" Type="http://schemas.openxmlformats.org/officeDocument/2006/relationships/hyperlink" Target="mailto:dunja.stevanovic@avu.cz" TargetMode="External"/><Relationship Id="rId128" Type="http://schemas.openxmlformats.org/officeDocument/2006/relationships/hyperlink" Target="mailto:marketa.dolejsova@avu.cz" TargetMode="External"/><Relationship Id="rId149" Type="http://schemas.openxmlformats.org/officeDocument/2006/relationships/hyperlink" Target="mailto:Peter.kolarcik@avu.cz" TargetMode="External"/><Relationship Id="rId5" Type="http://schemas.openxmlformats.org/officeDocument/2006/relationships/hyperlink" Target="mailto:katerina.olivova@avu.cz" TargetMode="External"/><Relationship Id="rId95" Type="http://schemas.openxmlformats.org/officeDocument/2006/relationships/hyperlink" Target="mailto:dunja.stevanovic@avu.cz" TargetMode="External"/><Relationship Id="rId160" Type="http://schemas.openxmlformats.org/officeDocument/2006/relationships/hyperlink" Target="mailto:andrea.janderova@avu.cz" TargetMode="External"/><Relationship Id="rId181" Type="http://schemas.openxmlformats.org/officeDocument/2006/relationships/hyperlink" Target="https://www.dobrepodlahy.cz/produkt/1884/marmoleum-home-h47" TargetMode="External"/><Relationship Id="rId216" Type="http://schemas.openxmlformats.org/officeDocument/2006/relationships/hyperlink" Target="mailto:lamija.cehajic@avu.cz" TargetMode="External"/><Relationship Id="rId237" Type="http://schemas.openxmlformats.org/officeDocument/2006/relationships/hyperlink" Target="mailto:irina.gheorghe@avu.cz" TargetMode="External"/><Relationship Id="rId22" Type="http://schemas.openxmlformats.org/officeDocument/2006/relationships/hyperlink" Target="mailto:k.cozlovacmolikova@avu.cz" TargetMode="External"/><Relationship Id="rId43" Type="http://schemas.openxmlformats.org/officeDocument/2006/relationships/hyperlink" Target="mailto:vlasta.elmerova@avu.cz" TargetMode="External"/><Relationship Id="rId64" Type="http://schemas.openxmlformats.org/officeDocument/2006/relationships/hyperlink" Target="mailto:theodora.popova@avu.cz" TargetMode="External"/><Relationship Id="rId118" Type="http://schemas.openxmlformats.org/officeDocument/2006/relationships/hyperlink" Target="mailto:marketa.dolejsova@avu.cz" TargetMode="External"/><Relationship Id="rId139" Type="http://schemas.openxmlformats.org/officeDocument/2006/relationships/hyperlink" Target="mailto:sarka.krtkova@avu.cz" TargetMode="External"/><Relationship Id="rId85" Type="http://schemas.openxmlformats.org/officeDocument/2006/relationships/hyperlink" Target="mailto:dunja.stevanovic@avu.cz" TargetMode="External"/><Relationship Id="rId150" Type="http://schemas.openxmlformats.org/officeDocument/2006/relationships/hyperlink" Target="mailto:Peter.kolarcik@avu.cz" TargetMode="External"/><Relationship Id="rId171" Type="http://schemas.openxmlformats.org/officeDocument/2006/relationships/hyperlink" Target="mailto:marketa.strnadova@avu.cz" TargetMode="External"/><Relationship Id="rId192" Type="http://schemas.openxmlformats.org/officeDocument/2006/relationships/hyperlink" Target="https://www.cckpraha1.cz/kurzy/testovaci-kurz/" TargetMode="External"/><Relationship Id="rId206" Type="http://schemas.openxmlformats.org/officeDocument/2006/relationships/hyperlink" Target="mailto:branislava.kuburovic@avu.cz" TargetMode="External"/><Relationship Id="rId227" Type="http://schemas.openxmlformats.org/officeDocument/2006/relationships/hyperlink" Target="mailto:a.monachisa@avu.cz" TargetMode="External"/><Relationship Id="rId248" Type="http://schemas.openxmlformats.org/officeDocument/2006/relationships/hyperlink" Target="mailto:irina.gheorghe@avu.cz" TargetMode="External"/><Relationship Id="rId12" Type="http://schemas.openxmlformats.org/officeDocument/2006/relationships/hyperlink" Target="mailto:k.cozlovacmolikova@avu.cz" TargetMode="External"/><Relationship Id="rId33" Type="http://schemas.openxmlformats.org/officeDocument/2006/relationships/hyperlink" Target="mailto:psycholog@avu.cz" TargetMode="External"/><Relationship Id="rId108" Type="http://schemas.openxmlformats.org/officeDocument/2006/relationships/hyperlink" Target="https://www.re-art.cz/socharska-hlina/" TargetMode="External"/><Relationship Id="rId129" Type="http://schemas.openxmlformats.org/officeDocument/2006/relationships/hyperlink" Target="mailto:marketa.dolejsova@avu.cz" TargetMode="External"/><Relationship Id="rId54" Type="http://schemas.openxmlformats.org/officeDocument/2006/relationships/hyperlink" Target="mailto:adam.pokorny@avu.cz" TargetMode="External"/><Relationship Id="rId75" Type="http://schemas.openxmlformats.org/officeDocument/2006/relationships/hyperlink" Target="mailto:dunja.stevanovic@avu.cz" TargetMode="External"/><Relationship Id="rId96" Type="http://schemas.openxmlformats.org/officeDocument/2006/relationships/hyperlink" Target="mailto:dunja.stevanovic@avu.cz" TargetMode="External"/><Relationship Id="rId140" Type="http://schemas.openxmlformats.org/officeDocument/2006/relationships/hyperlink" Target="mailto:sarka.krtkova@avu.cz" TargetMode="External"/><Relationship Id="rId161" Type="http://schemas.openxmlformats.org/officeDocument/2006/relationships/hyperlink" Target="mailto:andrea.janderova@avu.cz" TargetMode="External"/><Relationship Id="rId182" Type="http://schemas.openxmlformats.org/officeDocument/2006/relationships/hyperlink" Target="https://www.mojedilna.cz/transeco-ochranna-zastena-2050-v--tmave-zelena-2050--1870-mm/?gad_source=1&amp;gad_campaignid=21685165892&amp;gclid=CjwKCAiAj8LLBhAkEiwAJjbY7wbYCMk5vY7xlre9Tf3pl93xK4slGAfkSblBUeKZyyJW9j9gDUofaRoC1e8QAvD_BwE" TargetMode="External"/><Relationship Id="rId217" Type="http://schemas.openxmlformats.org/officeDocument/2006/relationships/hyperlink" Target="mailto:lamija.cehajic@avu.cz" TargetMode="External"/><Relationship Id="rId6" Type="http://schemas.openxmlformats.org/officeDocument/2006/relationships/hyperlink" Target="mailto:katerina.olivova@avu.cz" TargetMode="External"/><Relationship Id="rId238" Type="http://schemas.openxmlformats.org/officeDocument/2006/relationships/hyperlink" Target="mailto:irina.gheorghe@avu.cz" TargetMode="External"/><Relationship Id="rId23" Type="http://schemas.openxmlformats.org/officeDocument/2006/relationships/hyperlink" Target="mailto:k.cozlovacmolikova@avu.cz" TargetMode="External"/><Relationship Id="rId119" Type="http://schemas.openxmlformats.org/officeDocument/2006/relationships/hyperlink" Target="mailto:marketa.dolejsova@avu.cz" TargetMode="External"/><Relationship Id="rId44" Type="http://schemas.openxmlformats.org/officeDocument/2006/relationships/hyperlink" Target="mailto:vlasta.elmerova@avu.cz" TargetMode="External"/><Relationship Id="rId65" Type="http://schemas.openxmlformats.org/officeDocument/2006/relationships/hyperlink" Target="mailto:stepanka.kuckova@avu.cz" TargetMode="External"/><Relationship Id="rId86" Type="http://schemas.openxmlformats.org/officeDocument/2006/relationships/hyperlink" Target="mailto:dunja.stevanovic@avu.cz" TargetMode="External"/><Relationship Id="rId130" Type="http://schemas.openxmlformats.org/officeDocument/2006/relationships/hyperlink" Target="mailto:marketa.dolejsova@avu.cz" TargetMode="External"/><Relationship Id="rId151" Type="http://schemas.openxmlformats.org/officeDocument/2006/relationships/hyperlink" Target="mailto:Peter.kolarcik@avu.cz" TargetMode="External"/><Relationship Id="rId172" Type="http://schemas.openxmlformats.org/officeDocument/2006/relationships/hyperlink" Target="mailto:david.fesl@avu.cz" TargetMode="External"/><Relationship Id="rId193" Type="http://schemas.openxmlformats.org/officeDocument/2006/relationships/hyperlink" Target="mailto:pavla.scerankova@avu.cz" TargetMode="External"/><Relationship Id="rId207" Type="http://schemas.openxmlformats.org/officeDocument/2006/relationships/hyperlink" Target="mailto:branislava.kuburovic@avu.cz" TargetMode="External"/><Relationship Id="rId228" Type="http://schemas.openxmlformats.org/officeDocument/2006/relationships/hyperlink" Target="mailto:a.monachisa@avu.cz" TargetMode="External"/><Relationship Id="rId249" Type="http://schemas.openxmlformats.org/officeDocument/2006/relationships/hyperlink" Target="mailto:jaromir,pesr@avu.cz" TargetMode="External"/><Relationship Id="rId13" Type="http://schemas.openxmlformats.org/officeDocument/2006/relationships/hyperlink" Target="mailto:k.cozlovacmolikova@avu.cz" TargetMode="External"/><Relationship Id="rId109" Type="http://schemas.openxmlformats.org/officeDocument/2006/relationships/hyperlink" Target="https://www.re-art.cz/skrabka-spachtle--italska/" TargetMode="External"/><Relationship Id="rId34" Type="http://schemas.openxmlformats.org/officeDocument/2006/relationships/hyperlink" Target="mailto:vlasta.elmerova@avu.cz" TargetMode="External"/><Relationship Id="rId55" Type="http://schemas.openxmlformats.org/officeDocument/2006/relationships/hyperlink" Target="mailto:stepanka.kuckova@avu.cz" TargetMode="External"/><Relationship Id="rId76" Type="http://schemas.openxmlformats.org/officeDocument/2006/relationships/hyperlink" Target="mailto:dunja.stevanovic@avu.cz" TargetMode="External"/><Relationship Id="rId97" Type="http://schemas.openxmlformats.org/officeDocument/2006/relationships/hyperlink" Target="mailto:dunja.stevanovic@avu.cz" TargetMode="External"/><Relationship Id="rId120" Type="http://schemas.openxmlformats.org/officeDocument/2006/relationships/hyperlink" Target="mailto:marketa.dolejsova@avu.cz" TargetMode="External"/><Relationship Id="rId141" Type="http://schemas.openxmlformats.org/officeDocument/2006/relationships/hyperlink" Target="mailto:sarka.krtkova@avu.cz" TargetMode="External"/><Relationship Id="rId7" Type="http://schemas.openxmlformats.org/officeDocument/2006/relationships/hyperlink" Target="mailto:katerina.olivova@avu.cz" TargetMode="External"/><Relationship Id="rId162" Type="http://schemas.openxmlformats.org/officeDocument/2006/relationships/hyperlink" Target="mailto:andrea.janderova@avu.cz" TargetMode="External"/><Relationship Id="rId183" Type="http://schemas.openxmlformats.org/officeDocument/2006/relationships/hyperlink" Target="https://www.boukal.cz/mobilni-odsavaci-zarizeni-bernardo-dc-160-230-v-1797-produkt?srsltid=AfmBOoqelzHF3NwQxIk6uWa5awqKzpWprGZWnYKSBWHnvCYosdThTmnFH_8" TargetMode="External"/><Relationship Id="rId218" Type="http://schemas.openxmlformats.org/officeDocument/2006/relationships/hyperlink" Target="mailto:lamija.cehajic@avu.cz" TargetMode="External"/><Relationship Id="rId239" Type="http://schemas.openxmlformats.org/officeDocument/2006/relationships/hyperlink" Target="mailto:irina.gheorghe@avu.cz" TargetMode="External"/><Relationship Id="rId250" Type="http://schemas.openxmlformats.org/officeDocument/2006/relationships/hyperlink" Target="mailto:jaromir,pesr@avu.cz" TargetMode="External"/><Relationship Id="rId24" Type="http://schemas.openxmlformats.org/officeDocument/2006/relationships/hyperlink" Target="mailto:k.cozlovacmolikova@avu.cz" TargetMode="External"/><Relationship Id="rId45" Type="http://schemas.openxmlformats.org/officeDocument/2006/relationships/hyperlink" Target="mailto:vlasta.elmerova@avu.cz" TargetMode="External"/><Relationship Id="rId66" Type="http://schemas.openxmlformats.org/officeDocument/2006/relationships/hyperlink" Target="mailto:dunja.stevanovic@avu.cz" TargetMode="External"/><Relationship Id="rId87" Type="http://schemas.openxmlformats.org/officeDocument/2006/relationships/hyperlink" Target="mailto:dunja.stevanovic@avu.cz" TargetMode="External"/><Relationship Id="rId110" Type="http://schemas.openxmlformats.org/officeDocument/2006/relationships/hyperlink" Target="https://skolil.cz/art/31-acrystal-levny-material-s-tvrdym-povrchem/acrystal/126-acrystal-" TargetMode="External"/><Relationship Id="rId131" Type="http://schemas.openxmlformats.org/officeDocument/2006/relationships/hyperlink" Target="mailto:marketa.dolejsova@avu.cz" TargetMode="External"/><Relationship Id="rId152" Type="http://schemas.openxmlformats.org/officeDocument/2006/relationships/hyperlink" Target="mailto:Peter.kolarcik@avu.cz" TargetMode="External"/><Relationship Id="rId173" Type="http://schemas.openxmlformats.org/officeDocument/2006/relationships/hyperlink" Target="mailto:david.fesl@avu.cz" TargetMode="External"/><Relationship Id="rId194" Type="http://schemas.openxmlformats.org/officeDocument/2006/relationships/hyperlink" Target="mailto:pavla.scerankova@avu.cz" TargetMode="External"/><Relationship Id="rId208" Type="http://schemas.openxmlformats.org/officeDocument/2006/relationships/hyperlink" Target="mailto:branislava.kuburovic@avu.cz" TargetMode="External"/><Relationship Id="rId229" Type="http://schemas.openxmlformats.org/officeDocument/2006/relationships/hyperlink" Target="mailto:a.monachisa@avu.cz" TargetMode="External"/><Relationship Id="rId240" Type="http://schemas.openxmlformats.org/officeDocument/2006/relationships/hyperlink" Target="mailto:irina.gheorghe@avu.cz" TargetMode="External"/><Relationship Id="rId14" Type="http://schemas.openxmlformats.org/officeDocument/2006/relationships/hyperlink" Target="mailto:k.cozlovacmolikova@avu.cz" TargetMode="External"/><Relationship Id="rId35" Type="http://schemas.openxmlformats.org/officeDocument/2006/relationships/hyperlink" Target="mailto:vlasta.elmerova@avu.cz" TargetMode="External"/><Relationship Id="rId56" Type="http://schemas.openxmlformats.org/officeDocument/2006/relationships/hyperlink" Target="mailto:stepanka.kuckova@avu.cz" TargetMode="External"/><Relationship Id="rId77" Type="http://schemas.openxmlformats.org/officeDocument/2006/relationships/hyperlink" Target="mailto:dunja.stevanovic@avu.cz" TargetMode="External"/><Relationship Id="rId100" Type="http://schemas.openxmlformats.org/officeDocument/2006/relationships/hyperlink" Target="https://skolil.cz/materialy-pro-vyrobu-forem-modelu-pripravku" TargetMode="External"/><Relationship Id="rId8" Type="http://schemas.openxmlformats.org/officeDocument/2006/relationships/hyperlink" Target="mailto:katerina.olivova@avu.cz" TargetMode="External"/><Relationship Id="rId98" Type="http://schemas.openxmlformats.org/officeDocument/2006/relationships/hyperlink" Target="mailto:dunja.stevanovic@avu.cz" TargetMode="External"/><Relationship Id="rId121" Type="http://schemas.openxmlformats.org/officeDocument/2006/relationships/hyperlink" Target="mailto:marketa.dolejsova@avu.cz" TargetMode="External"/><Relationship Id="rId142" Type="http://schemas.openxmlformats.org/officeDocument/2006/relationships/hyperlink" Target="mailto:sarka.krtkova@avu.cz" TargetMode="External"/><Relationship Id="rId163" Type="http://schemas.openxmlformats.org/officeDocument/2006/relationships/hyperlink" Target="mailto:tomas.dzadon@avu.cz" TargetMode="External"/><Relationship Id="rId184" Type="http://schemas.openxmlformats.org/officeDocument/2006/relationships/hyperlink" Target="https://www.naradi-dewalt.cz/elektricke-naradi-elektricke-brusky-multifunkcni-brusky/oscilacni-bruska-sada-prislusenstvi-dewalt-dwe315kt" TargetMode="External"/><Relationship Id="rId219" Type="http://schemas.openxmlformats.org/officeDocument/2006/relationships/hyperlink" Target="mailto:lamija.cehajic@avu.cz" TargetMode="External"/><Relationship Id="rId230" Type="http://schemas.openxmlformats.org/officeDocument/2006/relationships/hyperlink" Target="mailto:a.monachisa@avu.cz" TargetMode="External"/><Relationship Id="rId251" Type="http://schemas.openxmlformats.org/officeDocument/2006/relationships/hyperlink" Target="mailto:jaromir,pesr@avu.cz" TargetMode="External"/><Relationship Id="rId25" Type="http://schemas.openxmlformats.org/officeDocument/2006/relationships/hyperlink" Target="mailto:k.cozlovacmolikova@avu.cz" TargetMode="External"/><Relationship Id="rId46" Type="http://schemas.openxmlformats.org/officeDocument/2006/relationships/hyperlink" Target="mailto:vlasta.elmerova@avu.cz" TargetMode="External"/><Relationship Id="rId67" Type="http://schemas.openxmlformats.org/officeDocument/2006/relationships/hyperlink" Target="mailto:dunja.stevanovic@avu.cz" TargetMode="External"/><Relationship Id="rId88" Type="http://schemas.openxmlformats.org/officeDocument/2006/relationships/hyperlink" Target="mailto:dunja.stevanovic@avu.cz" TargetMode="External"/><Relationship Id="rId111" Type="http://schemas.openxmlformats.org/officeDocument/2006/relationships/hyperlink" Target="https://www.re-art.cz/plastelina--bila/" TargetMode="External"/><Relationship Id="rId132" Type="http://schemas.openxmlformats.org/officeDocument/2006/relationships/hyperlink" Target="mailto:marketa.dolejsova@avu.cz" TargetMode="External"/><Relationship Id="rId153" Type="http://schemas.openxmlformats.org/officeDocument/2006/relationships/hyperlink" Target="mailto:jan.gasparovic@avu.cz" TargetMode="External"/><Relationship Id="rId174" Type="http://schemas.openxmlformats.org/officeDocument/2006/relationships/hyperlink" Target="mailto:david.fesl@avu.cz" TargetMode="External"/><Relationship Id="rId195" Type="http://schemas.openxmlformats.org/officeDocument/2006/relationships/hyperlink" Target="https://sketchup.cz/sketchup-eshop/?utm_source=google&amp;utm_medium=cpc&amp;utm_campaign=PMax%20%7C%20Sketchup&amp;utm_id=21564693787&amp;gad_source=1&amp;gad_campaignid=21560977427&amp;gclid=CjwKCAiAj8LLBhAkEiwAJjbY72IQTAMHtFdi3KX7PnGYIGp5mWVpa3QMPvhh8VCHVSQrRH82CkMyRhoCag8QAvD_BwE" TargetMode="External"/><Relationship Id="rId209" Type="http://schemas.openxmlformats.org/officeDocument/2006/relationships/hyperlink" Target="mailto:branislava.kuburovic@avu.cz" TargetMode="External"/><Relationship Id="rId220" Type="http://schemas.openxmlformats.org/officeDocument/2006/relationships/hyperlink" Target="mailto:a.monachisa@avu.cz" TargetMode="External"/><Relationship Id="rId241" Type="http://schemas.openxmlformats.org/officeDocument/2006/relationships/hyperlink" Target="mailto:irina.gheorghe@avu.cz" TargetMode="External"/><Relationship Id="rId15" Type="http://schemas.openxmlformats.org/officeDocument/2006/relationships/hyperlink" Target="mailto:k.cozlovacmolikova@avu.cz" TargetMode="External"/><Relationship Id="rId36" Type="http://schemas.openxmlformats.org/officeDocument/2006/relationships/hyperlink" Target="mailto:vlasta.elmerova@avu.cz" TargetMode="External"/><Relationship Id="rId57" Type="http://schemas.openxmlformats.org/officeDocument/2006/relationships/hyperlink" Target="mailto:tereza.jurczykova@avu.cz" TargetMode="External"/><Relationship Id="rId78" Type="http://schemas.openxmlformats.org/officeDocument/2006/relationships/hyperlink" Target="mailto:dunja.stevanovic@avu.cz" TargetMode="External"/><Relationship Id="rId99" Type="http://schemas.openxmlformats.org/officeDocument/2006/relationships/hyperlink" Target="mailto:dunja.stevanovic@avu.cz" TargetMode="External"/><Relationship Id="rId101" Type="http://schemas.openxmlformats.org/officeDocument/2006/relationships/hyperlink" Target="https://skolil.cz/materialy-pro-vyrobu-forem-modelu-pripravku" TargetMode="External"/><Relationship Id="rId122" Type="http://schemas.openxmlformats.org/officeDocument/2006/relationships/hyperlink" Target="mailto:marketa.dolejsova@avu.cz" TargetMode="External"/><Relationship Id="rId143" Type="http://schemas.openxmlformats.org/officeDocument/2006/relationships/hyperlink" Target="mailto:sarka.krtkova@avu.cz" TargetMode="External"/><Relationship Id="rId164" Type="http://schemas.openxmlformats.org/officeDocument/2006/relationships/hyperlink" Target="mailto:tomas.dzadon@avu.cz" TargetMode="External"/><Relationship Id="rId185" Type="http://schemas.openxmlformats.org/officeDocument/2006/relationships/hyperlink" Target="https://www.naradi-dewalt.cz/aku-naradi-aku-frezky/aku-kombinovana-frezka-18v-2x5-0ah-dewalt-dcw604p2" TargetMode="External"/><Relationship Id="rId9" Type="http://schemas.openxmlformats.org/officeDocument/2006/relationships/hyperlink" Target="mailto:david.fesl@avu.cz" TargetMode="External"/><Relationship Id="rId210" Type="http://schemas.openxmlformats.org/officeDocument/2006/relationships/hyperlink" Target="mailto:tomas.dzadon@avu.cz" TargetMode="External"/><Relationship Id="rId26" Type="http://schemas.openxmlformats.org/officeDocument/2006/relationships/hyperlink" Target="mailto:k.cozlovacmolikova@avu.cz" TargetMode="External"/><Relationship Id="rId231" Type="http://schemas.openxmlformats.org/officeDocument/2006/relationships/hyperlink" Target="mailto:a.monachisa@avu.cz" TargetMode="External"/><Relationship Id="rId252" Type="http://schemas.openxmlformats.org/officeDocument/2006/relationships/hyperlink" Target="https://kirstenpalz.com/forest-research-platform" TargetMode="External"/><Relationship Id="rId47" Type="http://schemas.openxmlformats.org/officeDocument/2006/relationships/hyperlink" Target="mailto:vlasta.elmerova@avu.cz" TargetMode="External"/><Relationship Id="rId68" Type="http://schemas.openxmlformats.org/officeDocument/2006/relationships/hyperlink" Target="mailto:dunja.stevanovic@avu.cz" TargetMode="External"/><Relationship Id="rId89" Type="http://schemas.openxmlformats.org/officeDocument/2006/relationships/hyperlink" Target="mailto:dunja.stevanovic@avu.cz" TargetMode="External"/><Relationship Id="rId112" Type="http://schemas.openxmlformats.org/officeDocument/2006/relationships/hyperlink" Target="https://www.silikonysro.cz/lici-peny" TargetMode="External"/><Relationship Id="rId133" Type="http://schemas.openxmlformats.org/officeDocument/2006/relationships/hyperlink" Target="mailto:marketa.dolejsova@avu.cz" TargetMode="External"/><Relationship Id="rId154" Type="http://schemas.openxmlformats.org/officeDocument/2006/relationships/hyperlink" Target="mailto:jan.gasparovic@avu.cz" TargetMode="External"/><Relationship Id="rId175" Type="http://schemas.openxmlformats.org/officeDocument/2006/relationships/hyperlink" Target="mailto:david.fesl@avu.cz" TargetMode="External"/><Relationship Id="rId196" Type="http://schemas.openxmlformats.org/officeDocument/2006/relationships/hyperlink" Target="https://www.lumion.cz/student/" TargetMode="External"/><Relationship Id="rId200" Type="http://schemas.openxmlformats.org/officeDocument/2006/relationships/hyperlink" Target="mailto:pavla.scerankova@avu.cz" TargetMode="External"/><Relationship Id="rId16" Type="http://schemas.openxmlformats.org/officeDocument/2006/relationships/hyperlink" Target="mailto:k.cozlovacmolikova@avu.cz" TargetMode="External"/><Relationship Id="rId221" Type="http://schemas.openxmlformats.org/officeDocument/2006/relationships/hyperlink" Target="mailto:a.monachisa@avu.cz" TargetMode="External"/><Relationship Id="rId242" Type="http://schemas.openxmlformats.org/officeDocument/2006/relationships/hyperlink" Target="mailto:irina.gheorghe@avu.cz" TargetMode="External"/><Relationship Id="rId37" Type="http://schemas.openxmlformats.org/officeDocument/2006/relationships/hyperlink" Target="mailto:vlasta.elmerova@avu.cz" TargetMode="External"/><Relationship Id="rId58" Type="http://schemas.openxmlformats.org/officeDocument/2006/relationships/hyperlink" Target="mailto:adam.pokorny@avu.cz" TargetMode="External"/><Relationship Id="rId79" Type="http://schemas.openxmlformats.org/officeDocument/2006/relationships/hyperlink" Target="mailto:dunja.stevanovic@avu.cz" TargetMode="External"/><Relationship Id="rId102" Type="http://schemas.openxmlformats.org/officeDocument/2006/relationships/hyperlink" Target="https://skolil.cz/materialy-pro-vyrobu-forem-modelu-pripravku" TargetMode="External"/><Relationship Id="rId123" Type="http://schemas.openxmlformats.org/officeDocument/2006/relationships/hyperlink" Target="mailto:marketa.dolejsova@avu.cz" TargetMode="External"/><Relationship Id="rId144" Type="http://schemas.openxmlformats.org/officeDocument/2006/relationships/hyperlink" Target="mailto:tereza.zamanova@avu.cz" TargetMode="External"/><Relationship Id="rId90" Type="http://schemas.openxmlformats.org/officeDocument/2006/relationships/hyperlink" Target="mailto:dunja.stevanovic@avu.cz" TargetMode="External"/><Relationship Id="rId165" Type="http://schemas.openxmlformats.org/officeDocument/2006/relationships/hyperlink" Target="mailto:tomas.dzadon@avu.cz" TargetMode="External"/><Relationship Id="rId186" Type="http://schemas.openxmlformats.org/officeDocument/2006/relationships/hyperlink" Target="https://www.dimapa.cz/multifunkcni-gravirovaci-pero-diamantovy-hrot-dimapa-engraver/" TargetMode="External"/><Relationship Id="rId211" Type="http://schemas.openxmlformats.org/officeDocument/2006/relationships/hyperlink" Target="mailto:tomas.dzadon@avu.cz" TargetMode="External"/><Relationship Id="rId232" Type="http://schemas.openxmlformats.org/officeDocument/2006/relationships/hyperlink" Target="mailto:a.monachisa@avu.cz" TargetMode="External"/><Relationship Id="rId253" Type="http://schemas.openxmlformats.org/officeDocument/2006/relationships/printerSettings" Target="../printerSettings/printerSettings2.bin"/><Relationship Id="rId27" Type="http://schemas.openxmlformats.org/officeDocument/2006/relationships/hyperlink" Target="mailto:marcela.mensikova@avu.cz" TargetMode="External"/><Relationship Id="rId48" Type="http://schemas.openxmlformats.org/officeDocument/2006/relationships/hyperlink" Target="mailto:vlasta.elmerova@avu.cz" TargetMode="External"/><Relationship Id="rId69" Type="http://schemas.openxmlformats.org/officeDocument/2006/relationships/hyperlink" Target="mailto:dunja.stevanovic@avu.cz" TargetMode="External"/><Relationship Id="rId113" Type="http://schemas.openxmlformats.org/officeDocument/2006/relationships/hyperlink" Target="https://www.p-lab.cz/laboratorni-chemikalie" TargetMode="External"/><Relationship Id="rId134" Type="http://schemas.openxmlformats.org/officeDocument/2006/relationships/hyperlink" Target="mailto:marketa.dolejsova@avu.cz" TargetMode="External"/><Relationship Id="rId80" Type="http://schemas.openxmlformats.org/officeDocument/2006/relationships/hyperlink" Target="mailto:dunja.stevanovic@avu.cz" TargetMode="External"/><Relationship Id="rId155" Type="http://schemas.openxmlformats.org/officeDocument/2006/relationships/hyperlink" Target="mailto:jana.jensovska@avu.cz" TargetMode="External"/><Relationship Id="rId176" Type="http://schemas.openxmlformats.org/officeDocument/2006/relationships/hyperlink" Target="mailto:dominik.bon@avu.cz" TargetMode="External"/><Relationship Id="rId197" Type="http://schemas.openxmlformats.org/officeDocument/2006/relationships/hyperlink" Target="https://www.rhinocad.cz/edu/student/?go=buy" TargetMode="External"/><Relationship Id="rId201" Type="http://schemas.openxmlformats.org/officeDocument/2006/relationships/hyperlink" Target="https://www.b2bpartner.cz/regal-na-skladovani-profilu-oboustranny-2200-x-1400-x-800-mm-zakladni/" TargetMode="External"/><Relationship Id="rId222" Type="http://schemas.openxmlformats.org/officeDocument/2006/relationships/hyperlink" Target="mailto:a.monachisa@avu.cz" TargetMode="External"/><Relationship Id="rId243" Type="http://schemas.openxmlformats.org/officeDocument/2006/relationships/hyperlink" Target="mailto:irina.gheorghe@avu.cz" TargetMode="External"/><Relationship Id="rId17" Type="http://schemas.openxmlformats.org/officeDocument/2006/relationships/hyperlink" Target="mailto:k.cozlovacmolikova@avu.cz" TargetMode="External"/><Relationship Id="rId38" Type="http://schemas.openxmlformats.org/officeDocument/2006/relationships/hyperlink" Target="mailto:vlasta.elmerova@avu.cz" TargetMode="External"/><Relationship Id="rId59" Type="http://schemas.openxmlformats.org/officeDocument/2006/relationships/hyperlink" Target="mailto:adam.pokorny@avu.cz" TargetMode="External"/><Relationship Id="rId103" Type="http://schemas.openxmlformats.org/officeDocument/2006/relationships/hyperlink" Target="https://skolil.cz/materialy-pro-vyrobu-forem-modelu-pripravku" TargetMode="External"/><Relationship Id="rId124" Type="http://schemas.openxmlformats.org/officeDocument/2006/relationships/hyperlink" Target="mailto:marketa.dolejsova@avu.cz" TargetMode="External"/><Relationship Id="rId70" Type="http://schemas.openxmlformats.org/officeDocument/2006/relationships/hyperlink" Target="mailto:dunja.stevanovic@avu.cz" TargetMode="External"/><Relationship Id="rId91" Type="http://schemas.openxmlformats.org/officeDocument/2006/relationships/hyperlink" Target="mailto:dunja.stevanovic@avu.cz" TargetMode="External"/><Relationship Id="rId145" Type="http://schemas.openxmlformats.org/officeDocument/2006/relationships/hyperlink" Target="mailto:tereza.zamanova@avu.cz" TargetMode="External"/><Relationship Id="rId166" Type="http://schemas.openxmlformats.org/officeDocument/2006/relationships/hyperlink" Target="mailto:rektor@avu.cz" TargetMode="External"/><Relationship Id="rId187" Type="http://schemas.openxmlformats.org/officeDocument/2006/relationships/hyperlink" Target="https://www.naradi-dewalt.cz/mereni-krizove-lasery/krizovy-laser-s-olovnici-dewalt-dw0822" TargetMode="External"/><Relationship Id="rId1" Type="http://schemas.openxmlformats.org/officeDocument/2006/relationships/hyperlink" Target="mailto:zbynek.baladran@avu.cz" TargetMode="External"/><Relationship Id="rId212" Type="http://schemas.openxmlformats.org/officeDocument/2006/relationships/hyperlink" Target="mailto:tomas.dzadon@avu.cz" TargetMode="External"/><Relationship Id="rId233" Type="http://schemas.openxmlformats.org/officeDocument/2006/relationships/hyperlink" Target="mailto:a.monachisa@avu.cz" TargetMode="External"/><Relationship Id="rId254" Type="http://schemas.openxmlformats.org/officeDocument/2006/relationships/vmlDrawing" Target="../drawings/vmlDrawing4.vml"/><Relationship Id="rId28" Type="http://schemas.openxmlformats.org/officeDocument/2006/relationships/hyperlink" Target="mailto:marcela.mensikova@avu.cz" TargetMode="External"/><Relationship Id="rId49" Type="http://schemas.openxmlformats.org/officeDocument/2006/relationships/hyperlink" Target="mailto:vlasta.elmerova@avu.cz" TargetMode="External"/><Relationship Id="rId114" Type="http://schemas.openxmlformats.org/officeDocument/2006/relationships/hyperlink" Target="https://www.3market.cz/7502-medium-3m-filtracni-polomaska-pro-dva-ochranne-filtry-extremniho-prostredi--stredni-velikost/" TargetMode="External"/><Relationship Id="rId60" Type="http://schemas.openxmlformats.org/officeDocument/2006/relationships/hyperlink" Target="mailto:tereza.jurczykova@avu.cz" TargetMode="External"/><Relationship Id="rId81" Type="http://schemas.openxmlformats.org/officeDocument/2006/relationships/hyperlink" Target="mailto:dunja.stevanovic@avu.cz" TargetMode="External"/><Relationship Id="rId135" Type="http://schemas.openxmlformats.org/officeDocument/2006/relationships/hyperlink" Target="mailto:jana.dolezalova@avu.cz" TargetMode="External"/><Relationship Id="rId156" Type="http://schemas.openxmlformats.org/officeDocument/2006/relationships/hyperlink" Target="mailto:jana.jensovska@avu.cz" TargetMode="External"/><Relationship Id="rId177" Type="http://schemas.openxmlformats.org/officeDocument/2006/relationships/hyperlink" Target="mailto:michal.ormandik@avu.cz" TargetMode="External"/><Relationship Id="rId198" Type="http://schemas.openxmlformats.org/officeDocument/2006/relationships/hyperlink" Target="mailto:pavla.scerankova@avu.cz" TargetMode="External"/><Relationship Id="rId202" Type="http://schemas.openxmlformats.org/officeDocument/2006/relationships/hyperlink" Target="https://www.b2bpartner.cz/dilensky-skladaci-stul-do-garaze-1200-x-700-x-845-mm/" TargetMode="External"/><Relationship Id="rId223" Type="http://schemas.openxmlformats.org/officeDocument/2006/relationships/hyperlink" Target="mailto:a.monachisa@avu.cz" TargetMode="External"/><Relationship Id="rId244" Type="http://schemas.openxmlformats.org/officeDocument/2006/relationships/hyperlink" Target="mailto:irina.gheorghe@avu.cz" TargetMode="External"/><Relationship Id="rId18" Type="http://schemas.openxmlformats.org/officeDocument/2006/relationships/hyperlink" Target="mailto:k.cozlovacmolikova@avu.cz" TargetMode="External"/><Relationship Id="rId39" Type="http://schemas.openxmlformats.org/officeDocument/2006/relationships/hyperlink" Target="mailto:vlasta.elmerova@avu.cz" TargetMode="External"/><Relationship Id="rId50" Type="http://schemas.openxmlformats.org/officeDocument/2006/relationships/hyperlink" Target="mailto:vlasta.elmerova@avu.cz" TargetMode="External"/><Relationship Id="rId104" Type="http://schemas.openxmlformats.org/officeDocument/2006/relationships/hyperlink" Target="http://www.lepidla-eshop.cz/z626-lc-bond-09-200g" TargetMode="External"/><Relationship Id="rId125" Type="http://schemas.openxmlformats.org/officeDocument/2006/relationships/hyperlink" Target="mailto:marketa.dolejsova@avu.cz" TargetMode="External"/><Relationship Id="rId146" Type="http://schemas.openxmlformats.org/officeDocument/2006/relationships/hyperlink" Target="mailto:tereza.zamanova@avu.cz" TargetMode="External"/><Relationship Id="rId167" Type="http://schemas.openxmlformats.org/officeDocument/2006/relationships/hyperlink" Target="mailto:rektorat@avu.cz" TargetMode="External"/><Relationship Id="rId188" Type="http://schemas.openxmlformats.org/officeDocument/2006/relationships/hyperlink" Target="mailto:pavla.scerankova@avu.cz" TargetMode="External"/><Relationship Id="rId71" Type="http://schemas.openxmlformats.org/officeDocument/2006/relationships/hyperlink" Target="mailto:dunja.stevanovic@avu.cz" TargetMode="External"/><Relationship Id="rId92" Type="http://schemas.openxmlformats.org/officeDocument/2006/relationships/hyperlink" Target="mailto:dunja.stevanovic@avu.cz" TargetMode="External"/><Relationship Id="rId213" Type="http://schemas.openxmlformats.org/officeDocument/2006/relationships/hyperlink" Target="mailto:lamija.cehajic@avu.cz" TargetMode="External"/><Relationship Id="rId234" Type="http://schemas.openxmlformats.org/officeDocument/2006/relationships/hyperlink" Target="mailto:a.monachisa@avu.cz" TargetMode="External"/><Relationship Id="rId2" Type="http://schemas.openxmlformats.org/officeDocument/2006/relationships/hyperlink" Target="mailto:zbynek.baladran@avu.cz" TargetMode="External"/><Relationship Id="rId29" Type="http://schemas.openxmlformats.org/officeDocument/2006/relationships/hyperlink" Target="mailto:marcela.mensikova@avu.cz" TargetMode="External"/><Relationship Id="rId255" Type="http://schemas.openxmlformats.org/officeDocument/2006/relationships/comments" Target="../comments4.xml"/><Relationship Id="rId40" Type="http://schemas.openxmlformats.org/officeDocument/2006/relationships/hyperlink" Target="mailto:vlasta.elmerova@avu.cz" TargetMode="External"/><Relationship Id="rId115" Type="http://schemas.openxmlformats.org/officeDocument/2006/relationships/hyperlink" Target="https://www.3market.cz/6059-filtr-abek1-k-maskam-rady-6000-proti-organickym--anorganickym-a-kyselym-param--cena-za-ks/?gad_source=1&amp;gad_campaignid=18353489461&amp;gbraid=0AAAAAC_t9hAKtvJQsODpWZKSjzumrOglf&amp;gclid=Cj0KCQiAm9fLBhCQARIsAJoNOcuFdea5Hp1uUKeoYPv9tugTFBri_WBfDUCXUIFVq2ZwzKspcMTOeXgaAvCWEALw_wcB" TargetMode="External"/><Relationship Id="rId136" Type="http://schemas.openxmlformats.org/officeDocument/2006/relationships/hyperlink" Target="mailto:jana.dolezalova@avu.cz" TargetMode="External"/><Relationship Id="rId157" Type="http://schemas.openxmlformats.org/officeDocument/2006/relationships/hyperlink" Target="mailto:andrea.janderova@avu.cz" TargetMode="External"/><Relationship Id="rId178" Type="http://schemas.openxmlformats.org/officeDocument/2006/relationships/hyperlink" Target="mailto:michal.ormandik@avu.cz" TargetMode="External"/><Relationship Id="rId61" Type="http://schemas.openxmlformats.org/officeDocument/2006/relationships/hyperlink" Target="mailto:tereza.jurczykova@avu.cz" TargetMode="External"/><Relationship Id="rId82" Type="http://schemas.openxmlformats.org/officeDocument/2006/relationships/hyperlink" Target="mailto:dunja.stevanovic@avu.cz" TargetMode="External"/><Relationship Id="rId199" Type="http://schemas.openxmlformats.org/officeDocument/2006/relationships/hyperlink" Target="mailto:pavla.scerankova@avu.cz" TargetMode="External"/><Relationship Id="rId203" Type="http://schemas.openxmlformats.org/officeDocument/2006/relationships/hyperlink" Target="https://www.b2bpartner.cz/stojanovy-vesak-celokovovy/" TargetMode="External"/><Relationship Id="rId19" Type="http://schemas.openxmlformats.org/officeDocument/2006/relationships/hyperlink" Target="mailto:k.cozlovacmolikova@avu.cz" TargetMode="External"/><Relationship Id="rId224" Type="http://schemas.openxmlformats.org/officeDocument/2006/relationships/hyperlink" Target="mailto:a.monachisa@avu.cz" TargetMode="External"/><Relationship Id="rId245" Type="http://schemas.openxmlformats.org/officeDocument/2006/relationships/hyperlink" Target="mailto:irina.gheorghe@avu.cz" TargetMode="External"/><Relationship Id="rId30" Type="http://schemas.openxmlformats.org/officeDocument/2006/relationships/hyperlink" Target="mailto:marcela.mensikova@avu.cz" TargetMode="External"/><Relationship Id="rId105" Type="http://schemas.openxmlformats.org/officeDocument/2006/relationships/hyperlink" Target="http://www.lepidla-eshop.cz/z4-belzona-2111-d-a-hi-build-elastomer-0-5-kg" TargetMode="External"/><Relationship Id="rId126" Type="http://schemas.openxmlformats.org/officeDocument/2006/relationships/hyperlink" Target="mailto:marketa.dolejsova@avu.cz" TargetMode="External"/><Relationship Id="rId147" Type="http://schemas.openxmlformats.org/officeDocument/2006/relationships/hyperlink" Target="mailto:tereza.zamanova@avu.cz" TargetMode="External"/><Relationship Id="rId168" Type="http://schemas.openxmlformats.org/officeDocument/2006/relationships/hyperlink" Target="mailto:rektorat@avu.cz" TargetMode="External"/><Relationship Id="rId51" Type="http://schemas.openxmlformats.org/officeDocument/2006/relationships/hyperlink" Target="mailto:vlasta.elmerova@avu.cz" TargetMode="External"/><Relationship Id="rId72" Type="http://schemas.openxmlformats.org/officeDocument/2006/relationships/hyperlink" Target="mailto:dunja.stevanovic@avu.cz" TargetMode="External"/><Relationship Id="rId93" Type="http://schemas.openxmlformats.org/officeDocument/2006/relationships/hyperlink" Target="mailto:dunja.stevanovic@avu.cz" TargetMode="External"/><Relationship Id="rId189" Type="http://schemas.openxmlformats.org/officeDocument/2006/relationships/hyperlink" Target="mailto:pavla.scerankova@avu.cz" TargetMode="External"/><Relationship Id="rId3" Type="http://schemas.openxmlformats.org/officeDocument/2006/relationships/hyperlink" Target="mailto:katerina.olivova@avu.cz" TargetMode="External"/><Relationship Id="rId214" Type="http://schemas.openxmlformats.org/officeDocument/2006/relationships/hyperlink" Target="mailto:lamija.cehajic@avu.cz" TargetMode="External"/><Relationship Id="rId235" Type="http://schemas.openxmlformats.org/officeDocument/2006/relationships/hyperlink" Target="mailto:a.monachisa@avu.cz" TargetMode="External"/><Relationship Id="rId116" Type="http://schemas.openxmlformats.org/officeDocument/2006/relationships/hyperlink" Target="https://www.vulkanmedical.cz/jednorazove-rukavice/nitrilove-rukavice/jednorazove-rukavice-nitrilove-bezprasne-modre-prodlouzene-m-752150760" TargetMode="External"/><Relationship Id="rId137" Type="http://schemas.openxmlformats.org/officeDocument/2006/relationships/hyperlink" Target="mailto:jana.dolezalova@avu.cz" TargetMode="External"/><Relationship Id="rId158" Type="http://schemas.openxmlformats.org/officeDocument/2006/relationships/hyperlink" Target="mailto:andrea.janderova@avu.cz" TargetMode="External"/><Relationship Id="rId20" Type="http://schemas.openxmlformats.org/officeDocument/2006/relationships/hyperlink" Target="mailto:k.cozlovacmolikova@avu.cz" TargetMode="External"/><Relationship Id="rId41" Type="http://schemas.openxmlformats.org/officeDocument/2006/relationships/hyperlink" Target="mailto:vlasta.elmerova@avu.cz" TargetMode="External"/><Relationship Id="rId62" Type="http://schemas.openxmlformats.org/officeDocument/2006/relationships/hyperlink" Target="mailto:tereza.jurczykova@avu.cz" TargetMode="External"/><Relationship Id="rId83" Type="http://schemas.openxmlformats.org/officeDocument/2006/relationships/hyperlink" Target="mailto:dunja.stevanovic@avu.cz" TargetMode="External"/><Relationship Id="rId179" Type="http://schemas.openxmlformats.org/officeDocument/2006/relationships/hyperlink" Target="mailto:michal.ormandik@avu.cz" TargetMode="External"/><Relationship Id="rId190" Type="http://schemas.openxmlformats.org/officeDocument/2006/relationships/hyperlink" Target="https://azwelding.eu/o-nas-2/" TargetMode="External"/><Relationship Id="rId204" Type="http://schemas.openxmlformats.org/officeDocument/2006/relationships/hyperlink" Target="https://www.b2bpartner.cz/zavesny-panel-na-naradi-hobby-iii-vcetne-22-ks-hacku-a-drzaku-595-x-395-x-25-mm/" TargetMode="External"/><Relationship Id="rId225" Type="http://schemas.openxmlformats.org/officeDocument/2006/relationships/hyperlink" Target="mailto:a.monachisa@avu.cz" TargetMode="External"/><Relationship Id="rId246" Type="http://schemas.openxmlformats.org/officeDocument/2006/relationships/hyperlink" Target="mailto:irina.gheorghe@avu.cz" TargetMode="External"/><Relationship Id="rId106" Type="http://schemas.openxmlformats.org/officeDocument/2006/relationships/hyperlink" Target="http://www.lepidla-eshop.cz/k202-dle-vyrobce-lc" TargetMode="External"/><Relationship Id="rId127" Type="http://schemas.openxmlformats.org/officeDocument/2006/relationships/hyperlink" Target="mailto:marketa.dolejsova@avu.cz" TargetMode="External"/><Relationship Id="rId10" Type="http://schemas.openxmlformats.org/officeDocument/2006/relationships/hyperlink" Target="mailto:david.fesl@avu.cz" TargetMode="External"/><Relationship Id="rId31" Type="http://schemas.openxmlformats.org/officeDocument/2006/relationships/hyperlink" Target="mailto:radim.langer@avu.cz" TargetMode="External"/><Relationship Id="rId52" Type="http://schemas.openxmlformats.org/officeDocument/2006/relationships/hyperlink" Target="mailto:vlasta.elmerova@avu.cz" TargetMode="External"/><Relationship Id="rId73" Type="http://schemas.openxmlformats.org/officeDocument/2006/relationships/hyperlink" Target="mailto:dunja.stevanovic@avu.cz" TargetMode="External"/><Relationship Id="rId94" Type="http://schemas.openxmlformats.org/officeDocument/2006/relationships/hyperlink" Target="mailto:dunja.stevanovic@avu.cz" TargetMode="External"/><Relationship Id="rId148" Type="http://schemas.openxmlformats.org/officeDocument/2006/relationships/hyperlink" Target="mailto:tereza.zamanova@avu.cz" TargetMode="External"/><Relationship Id="rId169" Type="http://schemas.openxmlformats.org/officeDocument/2006/relationships/hyperlink" Target="mailto:rektorat@avu.cz" TargetMode="External"/><Relationship Id="rId4" Type="http://schemas.openxmlformats.org/officeDocument/2006/relationships/hyperlink" Target="mailto:katerina.olivova@avu.cz" TargetMode="External"/><Relationship Id="rId180" Type="http://schemas.openxmlformats.org/officeDocument/2006/relationships/hyperlink" Target="mailto:pavla.scerankova@avu.cz" TargetMode="External"/><Relationship Id="rId215" Type="http://schemas.openxmlformats.org/officeDocument/2006/relationships/hyperlink" Target="mailto:lamija.cehajic@avu.cz" TargetMode="External"/><Relationship Id="rId236" Type="http://schemas.openxmlformats.org/officeDocument/2006/relationships/hyperlink" Target="mailto:a.monachisa@avu.cz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019BA-E6DD-4246-BEF1-6581D9348E0E}">
  <dimension ref="A1:G34"/>
  <sheetViews>
    <sheetView zoomScale="98" zoomScaleNormal="98" workbookViewId="0">
      <selection activeCell="C39" sqref="C39"/>
    </sheetView>
  </sheetViews>
  <sheetFormatPr defaultColWidth="9.109375" defaultRowHeight="12"/>
  <cols>
    <col min="1" max="1" width="44.5546875" style="323" bestFit="1" customWidth="1"/>
    <col min="2" max="2" width="16" style="323" customWidth="1"/>
    <col min="3" max="3" width="14.6640625" style="323" customWidth="1"/>
    <col min="4" max="4" width="15" style="322" customWidth="1"/>
    <col min="5" max="5" width="15.6640625" style="322" customWidth="1"/>
    <col min="6" max="6" width="10.109375" style="323" bestFit="1" customWidth="1"/>
    <col min="7" max="7" width="11.109375" style="323" bestFit="1" customWidth="1"/>
    <col min="8" max="16384" width="9.109375" style="323"/>
  </cols>
  <sheetData>
    <row r="1" spans="1:7" ht="12.6" thickBot="1">
      <c r="A1" s="321" t="s">
        <v>0</v>
      </c>
      <c r="B1" s="333" t="s">
        <v>1</v>
      </c>
      <c r="C1" s="334" t="s">
        <v>2</v>
      </c>
      <c r="D1" s="346" t="s">
        <v>3</v>
      </c>
      <c r="E1" s="346" t="s">
        <v>4</v>
      </c>
    </row>
    <row r="2" spans="1:7">
      <c r="A2" s="324" t="s">
        <v>5</v>
      </c>
      <c r="B2" s="335">
        <v>142222491</v>
      </c>
      <c r="C2" s="332" t="e">
        <f>#REF!</f>
        <v>#REF!</v>
      </c>
      <c r="D2" s="332">
        <v>146177858.44999999</v>
      </c>
      <c r="E2" s="332"/>
      <c r="F2" s="322"/>
    </row>
    <row r="3" spans="1:7">
      <c r="A3" s="324" t="s">
        <v>6</v>
      </c>
      <c r="B3" s="336">
        <v>13687656</v>
      </c>
      <c r="C3" s="332" t="e">
        <f>#REF!</f>
        <v>#REF!</v>
      </c>
      <c r="D3" s="332">
        <v>14022016</v>
      </c>
      <c r="E3" s="332"/>
      <c r="G3" s="322"/>
    </row>
    <row r="4" spans="1:7">
      <c r="A4" s="325" t="s">
        <v>7</v>
      </c>
      <c r="B4" s="337">
        <v>1936046.22</v>
      </c>
      <c r="C4" s="332">
        <f t="shared" ref="C4:C9" si="0">B4</f>
        <v>1936046.22</v>
      </c>
      <c r="D4" s="332">
        <v>0</v>
      </c>
      <c r="E4" s="332"/>
      <c r="G4" s="322"/>
    </row>
    <row r="5" spans="1:7">
      <c r="A5" s="325" t="s">
        <v>8</v>
      </c>
      <c r="B5" s="337">
        <v>1767853.85</v>
      </c>
      <c r="C5" s="332">
        <f t="shared" si="0"/>
        <v>1767853.85</v>
      </c>
      <c r="D5" s="332">
        <v>0</v>
      </c>
      <c r="E5" s="332"/>
    </row>
    <row r="6" spans="1:7">
      <c r="A6" s="326" t="s">
        <v>9</v>
      </c>
      <c r="B6" s="338">
        <v>3398631</v>
      </c>
      <c r="C6" s="332">
        <f t="shared" si="0"/>
        <v>3398631</v>
      </c>
      <c r="D6" s="332">
        <v>3712518</v>
      </c>
      <c r="E6" s="332"/>
    </row>
    <row r="7" spans="1:7">
      <c r="A7" s="326" t="s">
        <v>10</v>
      </c>
      <c r="B7" s="338">
        <v>1137750</v>
      </c>
      <c r="C7" s="332">
        <f t="shared" si="0"/>
        <v>1137750</v>
      </c>
      <c r="D7" s="332">
        <v>1100850</v>
      </c>
      <c r="E7" s="332"/>
    </row>
    <row r="8" spans="1:7">
      <c r="A8" s="326" t="s">
        <v>11</v>
      </c>
      <c r="B8" s="338">
        <v>112000</v>
      </c>
      <c r="C8" s="332">
        <f t="shared" si="0"/>
        <v>112000</v>
      </c>
      <c r="D8" s="332">
        <v>226000</v>
      </c>
      <c r="E8" s="332"/>
    </row>
    <row r="9" spans="1:7">
      <c r="A9" s="327" t="s">
        <v>12</v>
      </c>
      <c r="B9" s="339">
        <v>5867613</v>
      </c>
      <c r="C9" s="332">
        <f t="shared" si="0"/>
        <v>5867613</v>
      </c>
      <c r="D9" s="332">
        <v>9941351</v>
      </c>
      <c r="E9" s="332"/>
    </row>
    <row r="10" spans="1:7">
      <c r="A10" s="326" t="s">
        <v>13</v>
      </c>
      <c r="B10" s="338">
        <v>2162904</v>
      </c>
      <c r="C10" s="332">
        <v>4653853</v>
      </c>
      <c r="D10" s="332">
        <v>4933545</v>
      </c>
      <c r="E10" s="332"/>
    </row>
    <row r="11" spans="1:7">
      <c r="A11" s="327" t="s">
        <v>14</v>
      </c>
      <c r="B11" s="340">
        <v>0</v>
      </c>
      <c r="C11" s="332">
        <f>2891143-C12</f>
        <v>2147693</v>
      </c>
      <c r="D11" s="332">
        <v>0</v>
      </c>
      <c r="E11" s="332"/>
    </row>
    <row r="12" spans="1:7">
      <c r="A12" s="326" t="s">
        <v>15</v>
      </c>
      <c r="B12" s="339">
        <v>743450</v>
      </c>
      <c r="C12" s="332">
        <v>743450</v>
      </c>
      <c r="D12" s="332">
        <v>0</v>
      </c>
      <c r="E12" s="332"/>
    </row>
    <row r="13" spans="1:7">
      <c r="A13" s="326" t="s">
        <v>16</v>
      </c>
      <c r="B13" s="338">
        <v>278000</v>
      </c>
      <c r="C13" s="332">
        <f>B13</f>
        <v>278000</v>
      </c>
      <c r="D13" s="332">
        <v>0</v>
      </c>
      <c r="E13" s="332"/>
    </row>
    <row r="14" spans="1:7">
      <c r="A14" s="326" t="s">
        <v>17</v>
      </c>
      <c r="B14" s="338">
        <v>52187</v>
      </c>
      <c r="C14" s="332">
        <v>52187</v>
      </c>
      <c r="D14" s="348"/>
      <c r="E14" s="332"/>
    </row>
    <row r="15" spans="1:7">
      <c r="A15" s="328" t="s">
        <v>18</v>
      </c>
      <c r="B15" s="339">
        <v>75000</v>
      </c>
      <c r="C15" s="332">
        <f>850000+75000+885000</f>
        <v>1810000</v>
      </c>
      <c r="D15" s="332">
        <v>85000</v>
      </c>
      <c r="E15" s="332"/>
    </row>
    <row r="16" spans="1:7">
      <c r="A16" s="326" t="s">
        <v>19</v>
      </c>
      <c r="B16" s="338">
        <v>0</v>
      </c>
      <c r="C16" s="332">
        <v>0</v>
      </c>
      <c r="D16" s="332">
        <v>2061000</v>
      </c>
      <c r="E16" s="332"/>
    </row>
    <row r="17" spans="1:5">
      <c r="A17" s="326" t="s">
        <v>20</v>
      </c>
      <c r="B17" s="338">
        <v>48000</v>
      </c>
      <c r="C17" s="332">
        <f>B17</f>
        <v>48000</v>
      </c>
      <c r="D17" s="332">
        <v>60000</v>
      </c>
      <c r="E17" s="332"/>
    </row>
    <row r="18" spans="1:5">
      <c r="A18" s="326" t="s">
        <v>21</v>
      </c>
      <c r="B18" s="338">
        <v>982712</v>
      </c>
      <c r="C18" s="332">
        <f>B18</f>
        <v>982712</v>
      </c>
      <c r="D18" s="332">
        <v>237471</v>
      </c>
      <c r="E18" s="332"/>
    </row>
    <row r="19" spans="1:5">
      <c r="A19" s="327" t="s">
        <v>22</v>
      </c>
      <c r="B19" s="339">
        <v>4576012</v>
      </c>
      <c r="C19" s="332">
        <v>6964997</v>
      </c>
      <c r="D19" s="348"/>
      <c r="E19" s="332"/>
    </row>
    <row r="20" spans="1:5">
      <c r="A20" s="326" t="s">
        <v>23</v>
      </c>
      <c r="B20" s="341">
        <v>361260</v>
      </c>
      <c r="C20" s="332">
        <f>B20</f>
        <v>361260</v>
      </c>
      <c r="D20" s="348"/>
      <c r="E20" s="332"/>
    </row>
    <row r="21" spans="1:5">
      <c r="A21" s="327" t="s">
        <v>24</v>
      </c>
      <c r="B21" s="342">
        <v>1879246</v>
      </c>
      <c r="C21" s="332">
        <f>B21</f>
        <v>1879246</v>
      </c>
      <c r="D21" s="348"/>
      <c r="E21" s="332"/>
    </row>
    <row r="22" spans="1:5">
      <c r="A22" s="329" t="s">
        <v>25</v>
      </c>
      <c r="B22" s="343">
        <f>4900483.6+31425.94</f>
        <v>4931909.54</v>
      </c>
      <c r="C22" s="332">
        <f>3867765.49+48130.24+B22</f>
        <v>8847805.2699999996</v>
      </c>
      <c r="D22" s="332">
        <v>0</v>
      </c>
      <c r="E22" s="332"/>
    </row>
    <row r="23" spans="1:5">
      <c r="A23" s="326" t="s">
        <v>26</v>
      </c>
      <c r="B23" s="341"/>
      <c r="C23" s="332">
        <f>9341627.8+7517021.22</f>
        <v>16858649.02</v>
      </c>
      <c r="D23" s="348"/>
      <c r="E23" s="332"/>
    </row>
    <row r="24" spans="1:5">
      <c r="A24" s="326" t="s">
        <v>27</v>
      </c>
      <c r="B24" s="341">
        <v>1040000</v>
      </c>
      <c r="C24" s="332">
        <v>150000</v>
      </c>
      <c r="D24" s="332">
        <v>40000</v>
      </c>
      <c r="E24" s="332"/>
    </row>
    <row r="25" spans="1:5">
      <c r="A25" s="326" t="s">
        <v>28</v>
      </c>
      <c r="B25" s="341">
        <v>84774.43</v>
      </c>
      <c r="C25" s="332">
        <f>520885.13</f>
        <v>520885.13</v>
      </c>
      <c r="D25" s="332">
        <v>0</v>
      </c>
      <c r="E25" s="332"/>
    </row>
    <row r="26" spans="1:5">
      <c r="A26" s="326" t="s">
        <v>29</v>
      </c>
      <c r="B26" s="341"/>
      <c r="C26" s="332"/>
      <c r="D26" s="332"/>
      <c r="E26" s="332"/>
    </row>
    <row r="27" spans="1:5">
      <c r="A27" s="326" t="s">
        <v>30</v>
      </c>
      <c r="B27" s="341"/>
      <c r="C27" s="332">
        <v>781725.79</v>
      </c>
      <c r="D27" s="332"/>
      <c r="E27" s="332"/>
    </row>
    <row r="28" spans="1:5">
      <c r="A28" s="326" t="s">
        <v>31</v>
      </c>
      <c r="B28" s="341"/>
      <c r="C28" s="332">
        <v>13320544.449999999</v>
      </c>
      <c r="D28" s="332"/>
      <c r="E28" s="332"/>
    </row>
    <row r="29" spans="1:5">
      <c r="A29" s="326" t="s">
        <v>32</v>
      </c>
      <c r="B29" s="341"/>
      <c r="C29" s="332">
        <v>570000</v>
      </c>
      <c r="D29" s="332"/>
      <c r="E29" s="332"/>
    </row>
    <row r="30" spans="1:5">
      <c r="A30" s="326" t="s">
        <v>33</v>
      </c>
      <c r="B30" s="341"/>
      <c r="C30" s="332"/>
      <c r="D30" s="332">
        <v>1096045</v>
      </c>
      <c r="E30" s="332"/>
    </row>
    <row r="31" spans="1:5">
      <c r="A31" s="330" t="s">
        <v>34</v>
      </c>
      <c r="B31" s="344">
        <v>5000000</v>
      </c>
      <c r="C31" s="332">
        <v>7671686.2300000004</v>
      </c>
      <c r="D31" s="332">
        <v>5000000</v>
      </c>
      <c r="E31" s="332"/>
    </row>
    <row r="32" spans="1:5" ht="12.6" thickBot="1">
      <c r="A32" s="330" t="s">
        <v>35</v>
      </c>
      <c r="B32" s="344">
        <v>4500000</v>
      </c>
      <c r="C32" s="332">
        <v>1160691</v>
      </c>
      <c r="D32" s="332">
        <v>3000000</v>
      </c>
      <c r="E32" s="332"/>
    </row>
    <row r="33" spans="1:5" ht="12.6" thickBot="1">
      <c r="A33" s="331" t="s">
        <v>36</v>
      </c>
      <c r="B33" s="345">
        <f t="shared" ref="B33:E33" si="1">SUM(B2:B32)</f>
        <v>196845496.03999999</v>
      </c>
      <c r="C33" s="345" t="e">
        <f t="shared" si="1"/>
        <v>#REF!</v>
      </c>
      <c r="D33" s="345">
        <f>SUM(D2:D32)</f>
        <v>191693654.44999999</v>
      </c>
      <c r="E33" s="345">
        <f t="shared" si="1"/>
        <v>0</v>
      </c>
    </row>
    <row r="34" spans="1:5">
      <c r="C34" s="322"/>
    </row>
  </sheetData>
  <pageMargins left="0.7" right="0.7" top="0.78740157499999996" bottom="0.78740157499999996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F196-94EC-41EB-8F2D-E0F896401C2D}">
  <dimension ref="A1:AL107"/>
  <sheetViews>
    <sheetView topLeftCell="B1" zoomScale="78" zoomScaleNormal="78" workbookViewId="0">
      <selection activeCell="H19" sqref="H19"/>
    </sheetView>
  </sheetViews>
  <sheetFormatPr defaultRowHeight="14.4"/>
  <cols>
    <col min="1" max="1" width="0" hidden="1" customWidth="1"/>
    <col min="2" max="2" width="8" customWidth="1"/>
    <col min="3" max="3" width="15.88671875" customWidth="1"/>
    <col min="4" max="4" width="17.44140625" customWidth="1"/>
    <col min="5" max="5" width="79.44140625" customWidth="1"/>
    <col min="6" max="6" width="4" customWidth="1"/>
    <col min="7" max="7" width="11.6640625" customWidth="1"/>
    <col min="8" max="8" width="20.109375" customWidth="1"/>
    <col min="9" max="9" width="6" customWidth="1"/>
    <col min="10" max="10" width="5.6640625" customWidth="1"/>
    <col min="11" max="11" width="17.44140625" style="757" customWidth="1"/>
    <col min="12" max="12" width="18.5546875" style="757" hidden="1" customWidth="1"/>
    <col min="13" max="13" width="16.33203125" style="757" hidden="1" customWidth="1"/>
    <col min="14" max="14" width="0.33203125" style="757" customWidth="1"/>
    <col min="15" max="15" width="15.109375" style="757" customWidth="1"/>
    <col min="16" max="16" width="13.88671875" style="757" customWidth="1"/>
    <col min="17" max="17" width="0.109375" style="757" customWidth="1"/>
    <col min="18" max="18" width="31.33203125" style="757" hidden="1" customWidth="1"/>
    <col min="19" max="19" width="12.5546875" style="757" hidden="1" customWidth="1"/>
    <col min="20" max="20" width="5.33203125" style="757" hidden="1" customWidth="1"/>
    <col min="21" max="22" width="16.5546875" style="757" hidden="1" customWidth="1"/>
    <col min="23" max="23" width="20" style="757" hidden="1" customWidth="1"/>
    <col min="24" max="26" width="16.5546875" style="757" hidden="1" customWidth="1"/>
    <col min="27" max="28" width="9" hidden="1" customWidth="1"/>
    <col min="29" max="29" width="8.5546875" hidden="1" customWidth="1"/>
    <col min="30" max="30" width="14.88671875" hidden="1" customWidth="1"/>
    <col min="31" max="31" width="15.44140625" hidden="1" customWidth="1"/>
    <col min="32" max="32" width="0.5546875" hidden="1" customWidth="1"/>
    <col min="33" max="33" width="16.109375" hidden="1" customWidth="1"/>
    <col min="34" max="34" width="20.33203125" style="757" hidden="1" customWidth="1"/>
    <col min="35" max="35" width="14.6640625" hidden="1" customWidth="1"/>
    <col min="36" max="36" width="22.44140625" hidden="1" customWidth="1"/>
    <col min="37" max="37" width="71.88671875" customWidth="1"/>
    <col min="38" max="38" width="23.6640625" hidden="1" customWidth="1"/>
  </cols>
  <sheetData>
    <row r="1" spans="1:38" ht="15" thickBot="1">
      <c r="T1" s="758"/>
      <c r="V1" s="758"/>
      <c r="AE1" s="757"/>
      <c r="AF1" s="757"/>
      <c r="AG1" s="757"/>
      <c r="AH1" s="758"/>
      <c r="AI1" s="757"/>
      <c r="AJ1" s="757"/>
      <c r="AK1" s="757"/>
    </row>
    <row r="2" spans="1:38" ht="24" thickBot="1">
      <c r="E2" s="759" t="s">
        <v>1455</v>
      </c>
      <c r="F2" s="759"/>
      <c r="G2" s="759"/>
      <c r="H2" s="759"/>
      <c r="I2" s="759"/>
      <c r="J2" s="759"/>
      <c r="K2" s="760">
        <v>20400</v>
      </c>
      <c r="L2" s="761"/>
      <c r="M2" s="761"/>
      <c r="N2" s="761"/>
      <c r="O2" s="761"/>
      <c r="P2" s="761"/>
      <c r="Q2" s="761"/>
      <c r="R2" s="761"/>
      <c r="S2" s="761"/>
      <c r="T2" s="762"/>
      <c r="U2" s="760">
        <v>20400</v>
      </c>
      <c r="V2" s="762"/>
      <c r="W2" s="761"/>
      <c r="X2" s="761"/>
      <c r="Y2" s="761"/>
      <c r="Z2" s="761"/>
      <c r="AA2" s="763"/>
      <c r="AB2" s="763"/>
      <c r="AC2" s="763"/>
      <c r="AD2" s="763"/>
      <c r="AE2" s="761"/>
      <c r="AF2" s="764"/>
      <c r="AG2" s="765"/>
      <c r="AH2" s="762"/>
      <c r="AI2" s="765"/>
      <c r="AJ2" s="765"/>
      <c r="AK2" s="757"/>
    </row>
    <row r="3" spans="1:38" ht="33.75" customHeight="1">
      <c r="A3" s="766" t="s">
        <v>1456</v>
      </c>
      <c r="B3" s="766"/>
      <c r="C3" s="766"/>
      <c r="D3" s="766"/>
      <c r="E3" s="766"/>
      <c r="F3" s="766"/>
      <c r="G3" s="766"/>
      <c r="H3" s="766"/>
      <c r="I3" s="766"/>
      <c r="J3" s="766"/>
      <c r="K3" s="767"/>
      <c r="L3" s="768"/>
      <c r="M3" s="769"/>
      <c r="N3" s="769"/>
      <c r="O3" s="769"/>
      <c r="P3" s="769"/>
      <c r="Q3" s="769"/>
      <c r="R3" s="768"/>
      <c r="S3" s="768"/>
      <c r="T3" s="770"/>
      <c r="U3" s="767"/>
      <c r="V3" s="770"/>
      <c r="W3" s="768"/>
      <c r="X3" s="768"/>
      <c r="Y3" s="768"/>
      <c r="Z3" s="768"/>
      <c r="AA3" s="766"/>
      <c r="AB3" s="766"/>
      <c r="AC3" s="766"/>
      <c r="AD3" s="766"/>
      <c r="AE3" s="766"/>
      <c r="AF3" s="766"/>
      <c r="AG3" s="771"/>
      <c r="AH3" s="770"/>
      <c r="AI3" s="771"/>
      <c r="AJ3" s="771"/>
      <c r="AK3" s="772" t="s">
        <v>1457</v>
      </c>
      <c r="AL3" s="773"/>
    </row>
    <row r="4" spans="1:38" ht="49.95" customHeight="1">
      <c r="A4" s="774" t="s">
        <v>1458</v>
      </c>
      <c r="B4" s="775" t="s">
        <v>1459</v>
      </c>
      <c r="C4" s="774" t="s">
        <v>1460</v>
      </c>
      <c r="D4" s="774" t="s">
        <v>1461</v>
      </c>
      <c r="E4" s="774" t="s">
        <v>1462</v>
      </c>
      <c r="F4" s="776"/>
      <c r="G4" s="774" t="s">
        <v>1463</v>
      </c>
      <c r="H4" s="774" t="s">
        <v>1464</v>
      </c>
      <c r="I4" s="774" t="s">
        <v>1465</v>
      </c>
      <c r="J4" s="774" t="s">
        <v>1466</v>
      </c>
      <c r="K4" s="776" t="s">
        <v>1467</v>
      </c>
      <c r="L4" s="777" t="s">
        <v>1468</v>
      </c>
      <c r="M4" s="777" t="s">
        <v>1469</v>
      </c>
      <c r="N4" s="778" t="s">
        <v>1470</v>
      </c>
      <c r="O4" s="776" t="s">
        <v>1471</v>
      </c>
      <c r="P4" s="776" t="s">
        <v>1472</v>
      </c>
      <c r="Q4" s="776" t="s">
        <v>1473</v>
      </c>
      <c r="R4" s="776" t="s">
        <v>1474</v>
      </c>
      <c r="S4" s="776" t="s">
        <v>1475</v>
      </c>
      <c r="T4" s="779"/>
      <c r="U4" s="776" t="s">
        <v>1476</v>
      </c>
      <c r="V4" s="777" t="s">
        <v>1468</v>
      </c>
      <c r="W4" s="776" t="s">
        <v>1477</v>
      </c>
      <c r="X4" s="780" t="s">
        <v>1478</v>
      </c>
      <c r="Y4" s="781" t="s">
        <v>1479</v>
      </c>
      <c r="Z4" s="777" t="s">
        <v>1480</v>
      </c>
      <c r="AA4" s="774" t="s">
        <v>1481</v>
      </c>
      <c r="AB4" s="774" t="s">
        <v>1482</v>
      </c>
      <c r="AC4" s="774" t="s">
        <v>1483</v>
      </c>
      <c r="AD4" s="774" t="s">
        <v>1484</v>
      </c>
      <c r="AE4" s="774" t="s">
        <v>1485</v>
      </c>
      <c r="AF4" s="774" t="s">
        <v>1486</v>
      </c>
      <c r="AG4" s="774" t="s">
        <v>1487</v>
      </c>
      <c r="AH4" s="779">
        <v>2024</v>
      </c>
      <c r="AI4" s="774" t="s">
        <v>1488</v>
      </c>
      <c r="AJ4" s="774" t="s">
        <v>1489</v>
      </c>
      <c r="AK4" s="782" t="s">
        <v>1490</v>
      </c>
      <c r="AL4" s="1163" t="s">
        <v>1491</v>
      </c>
    </row>
    <row r="5" spans="1:38">
      <c r="A5" s="783">
        <v>33</v>
      </c>
      <c r="B5" s="783">
        <v>110</v>
      </c>
      <c r="C5" s="783" t="s">
        <v>1492</v>
      </c>
      <c r="D5" s="783" t="s">
        <v>1493</v>
      </c>
      <c r="E5" s="784" t="s">
        <v>1494</v>
      </c>
      <c r="F5" s="784" t="s">
        <v>1495</v>
      </c>
      <c r="G5" s="784" t="s">
        <v>1496</v>
      </c>
      <c r="H5" s="785" t="s">
        <v>1497</v>
      </c>
      <c r="I5" s="785" t="s">
        <v>1450</v>
      </c>
      <c r="J5" s="786">
        <v>1</v>
      </c>
      <c r="K5" s="787">
        <f>O5*1.1</f>
        <v>244750.00000000003</v>
      </c>
      <c r="L5" s="788" t="e">
        <f>VLOOKUP(B5,#REF!,13,FALSE)</f>
        <v>#REF!</v>
      </c>
      <c r="M5" s="788">
        <v>0</v>
      </c>
      <c r="N5" s="789" t="e">
        <f>VLOOKUP(B5,#REF!,18,FALSE)</f>
        <v>#REF!</v>
      </c>
      <c r="O5" s="790">
        <v>222500</v>
      </c>
      <c r="P5" s="790">
        <v>95000</v>
      </c>
      <c r="Q5" s="791">
        <f>VLOOKUP(B5,'[10]zadanky all_011122'!$I$2:$J$79,2,FALSE)</f>
        <v>0</v>
      </c>
      <c r="R5" s="792">
        <f>SUM(O5-Q5)</f>
        <v>222500</v>
      </c>
      <c r="S5" s="792"/>
      <c r="T5" s="793">
        <v>0</v>
      </c>
      <c r="U5" s="792">
        <v>108900.00000000001</v>
      </c>
      <c r="V5" s="794">
        <v>99000</v>
      </c>
      <c r="W5" s="792">
        <f>VLOOKUP(B5,'[10]zadanky all_011122'!$I$2:$J$72,2,FALSE)</f>
        <v>0</v>
      </c>
      <c r="X5" s="795">
        <f>V5-W5</f>
        <v>99000</v>
      </c>
      <c r="Y5" s="794" t="e">
        <f>SUM(L5-Q5)+SUM(V5-W5)</f>
        <v>#REF!</v>
      </c>
      <c r="Z5" s="794">
        <f>X5</f>
        <v>99000</v>
      </c>
      <c r="AA5" s="796"/>
      <c r="AB5" s="796"/>
      <c r="AC5" s="796"/>
      <c r="AD5" s="796">
        <v>0</v>
      </c>
      <c r="AE5" s="792" t="s">
        <v>1498</v>
      </c>
      <c r="AF5" s="797" t="s">
        <v>1499</v>
      </c>
      <c r="AG5" s="796">
        <v>0</v>
      </c>
      <c r="AH5" s="785"/>
      <c r="AI5" s="791">
        <v>0</v>
      </c>
      <c r="AJ5" s="792">
        <f>X5+R5</f>
        <v>321500</v>
      </c>
      <c r="AK5" s="797" t="s">
        <v>1500</v>
      </c>
      <c r="AL5" s="1164"/>
    </row>
    <row r="6" spans="1:38">
      <c r="A6" s="783"/>
      <c r="B6" s="783">
        <v>111</v>
      </c>
      <c r="C6" s="783" t="s">
        <v>1492</v>
      </c>
      <c r="D6" s="783" t="s">
        <v>1493</v>
      </c>
      <c r="E6" s="784" t="s">
        <v>1501</v>
      </c>
      <c r="F6" s="784" t="s">
        <v>1495</v>
      </c>
      <c r="G6" s="784" t="s">
        <v>1496</v>
      </c>
      <c r="H6" s="785" t="s">
        <v>1497</v>
      </c>
      <c r="I6" s="785" t="s">
        <v>1450</v>
      </c>
      <c r="J6" s="786">
        <v>1</v>
      </c>
      <c r="K6" s="787">
        <f>1.1*O6</f>
        <v>54571.000000000007</v>
      </c>
      <c r="L6" s="788"/>
      <c r="M6" s="788">
        <v>0</v>
      </c>
      <c r="N6" s="789"/>
      <c r="O6" s="790">
        <v>49610</v>
      </c>
      <c r="P6" s="790">
        <v>49600</v>
      </c>
      <c r="Q6" s="791">
        <f>VLOOKUP(B6,'[10]zadanky all_011122'!$I$2:$J$79,2,FALSE)</f>
        <v>0</v>
      </c>
      <c r="R6" s="792">
        <v>0</v>
      </c>
      <c r="S6" s="792"/>
      <c r="T6" s="793">
        <v>0</v>
      </c>
      <c r="U6" s="792"/>
      <c r="V6" s="794"/>
      <c r="W6" s="792"/>
      <c r="X6" s="795"/>
      <c r="Y6" s="794"/>
      <c r="Z6" s="794"/>
      <c r="AA6" s="796"/>
      <c r="AB6" s="796"/>
      <c r="AC6" s="796"/>
      <c r="AD6" s="796"/>
      <c r="AE6" s="792"/>
      <c r="AF6" s="797"/>
      <c r="AG6" s="796"/>
      <c r="AH6" s="785"/>
      <c r="AI6" s="791"/>
      <c r="AJ6" s="792"/>
      <c r="AK6" s="797" t="s">
        <v>1500</v>
      </c>
      <c r="AL6" s="1164"/>
    </row>
    <row r="7" spans="1:38">
      <c r="A7" s="783">
        <v>34</v>
      </c>
      <c r="B7" s="783">
        <v>120</v>
      </c>
      <c r="C7" s="783" t="s">
        <v>1492</v>
      </c>
      <c r="D7" s="783" t="s">
        <v>1493</v>
      </c>
      <c r="E7" s="784" t="s">
        <v>1502</v>
      </c>
      <c r="F7" s="784" t="s">
        <v>1495</v>
      </c>
      <c r="G7" s="784" t="s">
        <v>1496</v>
      </c>
      <c r="H7" s="785" t="s">
        <v>1497</v>
      </c>
      <c r="I7" s="785" t="s">
        <v>1450</v>
      </c>
      <c r="J7" s="786">
        <v>1</v>
      </c>
      <c r="K7" s="787">
        <f>1.1*O7</f>
        <v>2750000</v>
      </c>
      <c r="L7" s="788" t="e">
        <f>VLOOKUP(B7,#REF!,13,FALSE)</f>
        <v>#REF!</v>
      </c>
      <c r="M7" s="788">
        <v>0</v>
      </c>
      <c r="N7" s="789" t="e">
        <f>VLOOKUP(B7,#REF!,18,FALSE)</f>
        <v>#REF!</v>
      </c>
      <c r="O7" s="790">
        <v>2500000</v>
      </c>
      <c r="P7" s="790">
        <v>2500000</v>
      </c>
      <c r="Q7" s="791">
        <f>VLOOKUP(B7,'[10]zadanky all_011122'!$I$2:$J$79,2,FALSE)</f>
        <v>1869429.4299999997</v>
      </c>
      <c r="R7" s="792">
        <f t="shared" ref="R7:R17" si="0">SUM(O7-Q7)</f>
        <v>630570.5700000003</v>
      </c>
      <c r="S7" s="792"/>
      <c r="T7" s="793">
        <v>0</v>
      </c>
      <c r="U7" s="792">
        <v>1877406.96</v>
      </c>
      <c r="V7" s="794">
        <v>1551576</v>
      </c>
      <c r="W7" s="792">
        <f>VLOOKUP(B7,'[10]zadanky all_011122'!$I$2:$J$72,2,FALSE)</f>
        <v>1869429.4299999997</v>
      </c>
      <c r="X7" s="795">
        <f t="shared" ref="X7:X17" si="1">V7-W7</f>
        <v>-317853.4299999997</v>
      </c>
      <c r="Y7" s="794" t="e">
        <f t="shared" ref="Y7:Y17" si="2">SUM(L7-Q7)+SUM(V7-W7)</f>
        <v>#REF!</v>
      </c>
      <c r="Z7" s="794">
        <f t="shared" ref="Z7:Z17" si="3">X7</f>
        <v>-317853.4299999997</v>
      </c>
      <c r="AA7" s="796"/>
      <c r="AB7" s="796"/>
      <c r="AC7" s="796"/>
      <c r="AD7" s="796">
        <v>0</v>
      </c>
      <c r="AE7" s="792" t="s">
        <v>1498</v>
      </c>
      <c r="AF7" s="797" t="s">
        <v>1499</v>
      </c>
      <c r="AG7" s="796">
        <v>0</v>
      </c>
      <c r="AH7" s="785"/>
      <c r="AI7" s="791">
        <v>0</v>
      </c>
      <c r="AJ7" s="792">
        <f t="shared" ref="AJ7:AJ14" si="4">X7+R7</f>
        <v>312717.1400000006</v>
      </c>
      <c r="AK7" s="797" t="s">
        <v>1500</v>
      </c>
      <c r="AL7" s="1164"/>
    </row>
    <row r="8" spans="1:38">
      <c r="A8" s="783"/>
      <c r="B8" s="783"/>
      <c r="C8" s="783"/>
      <c r="D8" s="783" t="s">
        <v>1493</v>
      </c>
      <c r="E8" s="784" t="s">
        <v>1503</v>
      </c>
      <c r="F8" s="784"/>
      <c r="G8" s="784" t="s">
        <v>1504</v>
      </c>
      <c r="H8" s="785" t="s">
        <v>1505</v>
      </c>
      <c r="I8" s="785" t="s">
        <v>1450</v>
      </c>
      <c r="J8" s="786">
        <v>1</v>
      </c>
      <c r="K8" s="787">
        <f>1.1*O8</f>
        <v>110000.00000000001</v>
      </c>
      <c r="L8" s="788"/>
      <c r="M8" s="788"/>
      <c r="N8" s="789"/>
      <c r="O8" s="790">
        <v>100000</v>
      </c>
      <c r="P8" s="790">
        <v>200000</v>
      </c>
      <c r="Q8" s="791"/>
      <c r="R8" s="792"/>
      <c r="S8" s="792"/>
      <c r="T8" s="793"/>
      <c r="U8" s="792"/>
      <c r="V8" s="794"/>
      <c r="W8" s="792"/>
      <c r="X8" s="795"/>
      <c r="Y8" s="794"/>
      <c r="Z8" s="794"/>
      <c r="AA8" s="796"/>
      <c r="AB8" s="796"/>
      <c r="AC8" s="796"/>
      <c r="AD8" s="796"/>
      <c r="AE8" s="792"/>
      <c r="AF8" s="797"/>
      <c r="AG8" s="796"/>
      <c r="AH8" s="785"/>
      <c r="AI8" s="791"/>
      <c r="AJ8" s="792"/>
      <c r="AK8" s="797"/>
      <c r="AL8" s="1164"/>
    </row>
    <row r="9" spans="1:38">
      <c r="A9" s="783">
        <v>3</v>
      </c>
      <c r="B9" s="783">
        <v>141</v>
      </c>
      <c r="C9" s="783" t="s">
        <v>1492</v>
      </c>
      <c r="D9" s="783" t="s">
        <v>1506</v>
      </c>
      <c r="E9" s="784" t="s">
        <v>1507</v>
      </c>
      <c r="F9" s="784" t="s">
        <v>1495</v>
      </c>
      <c r="G9" s="784" t="s">
        <v>1496</v>
      </c>
      <c r="H9" s="785" t="s">
        <v>1497</v>
      </c>
      <c r="I9" s="785" t="s">
        <v>1450</v>
      </c>
      <c r="J9" s="786">
        <v>1</v>
      </c>
      <c r="K9" s="787">
        <f>O9*1.1</f>
        <v>550000</v>
      </c>
      <c r="L9" s="788" t="e">
        <f>VLOOKUP(B9,#REF!,13,FALSE)</f>
        <v>#REF!</v>
      </c>
      <c r="M9" s="788">
        <v>0</v>
      </c>
      <c r="N9" s="789" t="e">
        <f>VLOOKUP(B9,#REF!,18,FALSE)</f>
        <v>#REF!</v>
      </c>
      <c r="O9" s="790">
        <v>500000</v>
      </c>
      <c r="P9" s="790">
        <v>499000</v>
      </c>
      <c r="Q9" s="791">
        <f>VLOOKUP(B9,'[10]zadanky all_011122'!$I$2:$J$79,2,FALSE)</f>
        <v>499442.02</v>
      </c>
      <c r="R9" s="792">
        <f t="shared" si="0"/>
        <v>557.97999999998137</v>
      </c>
      <c r="S9" s="792"/>
      <c r="T9" s="793">
        <v>0</v>
      </c>
      <c r="U9" s="798">
        <v>250000</v>
      </c>
      <c r="V9" s="794">
        <v>300000</v>
      </c>
      <c r="W9" s="792">
        <f>VLOOKUP(B9,'[10]zadanky all_011122'!$I$2:$J$72,2,FALSE)</f>
        <v>499442.02</v>
      </c>
      <c r="X9" s="795">
        <f t="shared" si="1"/>
        <v>-199442.02000000002</v>
      </c>
      <c r="Y9" s="794" t="e">
        <f t="shared" si="2"/>
        <v>#REF!</v>
      </c>
      <c r="Z9" s="794">
        <f t="shared" si="3"/>
        <v>-199442.02000000002</v>
      </c>
      <c r="AA9" s="796"/>
      <c r="AB9" s="796"/>
      <c r="AC9" s="796"/>
      <c r="AD9" s="796">
        <v>0</v>
      </c>
      <c r="AE9" s="792" t="s">
        <v>1498</v>
      </c>
      <c r="AF9" s="797" t="s">
        <v>1499</v>
      </c>
      <c r="AG9" s="796">
        <v>300000</v>
      </c>
      <c r="AH9" s="785"/>
      <c r="AI9" s="791">
        <v>200104.95999999999</v>
      </c>
      <c r="AJ9" s="792">
        <f t="shared" si="4"/>
        <v>-198884.04000000004</v>
      </c>
      <c r="AK9" s="797" t="s">
        <v>1508</v>
      </c>
      <c r="AL9" s="1164"/>
    </row>
    <row r="10" spans="1:38">
      <c r="A10" s="799"/>
      <c r="B10" s="799">
        <v>142</v>
      </c>
      <c r="C10" s="799"/>
      <c r="D10" s="799"/>
      <c r="E10" s="800" t="s">
        <v>1509</v>
      </c>
      <c r="F10" s="800" t="s">
        <v>1510</v>
      </c>
      <c r="G10" s="800" t="s">
        <v>1496</v>
      </c>
      <c r="H10" s="801"/>
      <c r="I10" s="801"/>
      <c r="J10" s="801"/>
      <c r="K10" s="802">
        <f>O10*1.1</f>
        <v>0</v>
      </c>
      <c r="L10" s="802" t="e">
        <f>VLOOKUP(B10,#REF!,13,FALSE)</f>
        <v>#REF!</v>
      </c>
      <c r="M10" s="802">
        <v>0</v>
      </c>
      <c r="N10" s="802" t="e">
        <f>VLOOKUP(B10,#REF!,18,FALSE)</f>
        <v>#REF!</v>
      </c>
      <c r="O10" s="803">
        <v>0</v>
      </c>
      <c r="P10" s="803">
        <f>VLOOKUP(B10,'[11]2024'!$B$5:$AG$71,18,FALSE)</f>
        <v>0</v>
      </c>
      <c r="Q10" s="804">
        <f>VLOOKUP(B10,'[10]zadanky all_011122'!$I$2:$J$79,2,FALSE)</f>
        <v>0</v>
      </c>
      <c r="R10" s="801">
        <f t="shared" si="0"/>
        <v>0</v>
      </c>
      <c r="S10" s="801"/>
      <c r="T10" s="805">
        <v>0</v>
      </c>
      <c r="U10" s="801">
        <v>25000</v>
      </c>
      <c r="V10" s="801">
        <v>20000</v>
      </c>
      <c r="W10" s="801">
        <f>VLOOKUP(B10,'[10]zadanky all_011122'!$I$2:$J$72,2,FALSE)</f>
        <v>0</v>
      </c>
      <c r="X10" s="801">
        <f t="shared" si="1"/>
        <v>20000</v>
      </c>
      <c r="Y10" s="801" t="e">
        <f t="shared" si="2"/>
        <v>#REF!</v>
      </c>
      <c r="Z10" s="801">
        <f t="shared" si="3"/>
        <v>20000</v>
      </c>
      <c r="AA10" s="806"/>
      <c r="AB10" s="806"/>
      <c r="AC10" s="806"/>
      <c r="AD10" s="806">
        <v>0</v>
      </c>
      <c r="AE10" s="801" t="s">
        <v>1498</v>
      </c>
      <c r="AF10" s="807" t="s">
        <v>1499</v>
      </c>
      <c r="AG10" s="806">
        <v>20000</v>
      </c>
      <c r="AH10" s="801"/>
      <c r="AI10" s="804">
        <v>0</v>
      </c>
      <c r="AJ10" s="801">
        <f t="shared" si="4"/>
        <v>20000</v>
      </c>
      <c r="AK10" s="807"/>
      <c r="AL10" s="1164"/>
    </row>
    <row r="11" spans="1:38">
      <c r="A11" s="783">
        <v>5</v>
      </c>
      <c r="B11" s="783">
        <v>143</v>
      </c>
      <c r="C11" s="783" t="s">
        <v>1492</v>
      </c>
      <c r="D11" s="783" t="s">
        <v>1493</v>
      </c>
      <c r="E11" s="808" t="s">
        <v>1511</v>
      </c>
      <c r="F11" s="784" t="s">
        <v>1495</v>
      </c>
      <c r="G11" s="784" t="s">
        <v>1496</v>
      </c>
      <c r="H11" s="785" t="s">
        <v>1497</v>
      </c>
      <c r="I11" s="785" t="s">
        <v>1450</v>
      </c>
      <c r="J11" s="786">
        <v>1</v>
      </c>
      <c r="K11" s="787">
        <f>O11*1.1</f>
        <v>129719.26000000002</v>
      </c>
      <c r="L11" s="788" t="e">
        <f>VLOOKUP(B11,#REF!,13,FALSE)</f>
        <v>#REF!</v>
      </c>
      <c r="M11" s="788">
        <v>0</v>
      </c>
      <c r="N11" s="789" t="e">
        <f>VLOOKUP(B11,#REF!,18,FALSE)</f>
        <v>#REF!</v>
      </c>
      <c r="O11" s="790">
        <v>117926.6</v>
      </c>
      <c r="P11" s="790">
        <f>VLOOKUP(B11,'[11]2024'!$B$5:$AG$71,18,FALSE)</f>
        <v>118791.75</v>
      </c>
      <c r="Q11" s="791">
        <f>VLOOKUP(B11,'[10]zadanky all_011122'!$I$2:$J$79,2,FALSE)</f>
        <v>4843.4182499999997</v>
      </c>
      <c r="R11" s="792">
        <f t="shared" si="0"/>
        <v>113083.18175</v>
      </c>
      <c r="S11" s="792"/>
      <c r="T11" s="793">
        <v>0</v>
      </c>
      <c r="U11" s="798">
        <v>130000</v>
      </c>
      <c r="V11" s="794">
        <v>130000</v>
      </c>
      <c r="W11" s="792">
        <f>VLOOKUP(B11,'[10]zadanky all_011122'!$I$2:$J$72,2,FALSE)</f>
        <v>4843.4182499999997</v>
      </c>
      <c r="X11" s="795">
        <f t="shared" si="1"/>
        <v>125156.58175</v>
      </c>
      <c r="Y11" s="794" t="e">
        <f t="shared" si="2"/>
        <v>#REF!</v>
      </c>
      <c r="Z11" s="794">
        <f t="shared" si="3"/>
        <v>125156.58175</v>
      </c>
      <c r="AA11" s="796"/>
      <c r="AB11" s="796"/>
      <c r="AC11" s="796"/>
      <c r="AD11" s="796">
        <v>0</v>
      </c>
      <c r="AE11" s="792" t="s">
        <v>1498</v>
      </c>
      <c r="AF11" s="797" t="s">
        <v>1499</v>
      </c>
      <c r="AG11" s="796">
        <v>220000</v>
      </c>
      <c r="AH11" s="785"/>
      <c r="AI11" s="791">
        <v>117926.6</v>
      </c>
      <c r="AJ11" s="792">
        <f t="shared" si="4"/>
        <v>238239.7635</v>
      </c>
      <c r="AK11" s="797" t="s">
        <v>1512</v>
      </c>
      <c r="AL11" s="1164"/>
    </row>
    <row r="12" spans="1:38">
      <c r="A12" s="783">
        <v>19</v>
      </c>
      <c r="B12" s="783">
        <v>149</v>
      </c>
      <c r="C12" s="783" t="s">
        <v>1492</v>
      </c>
      <c r="D12" s="783" t="s">
        <v>1506</v>
      </c>
      <c r="E12" s="808" t="s">
        <v>1513</v>
      </c>
      <c r="F12" s="784" t="s">
        <v>1495</v>
      </c>
      <c r="G12" s="784" t="s">
        <v>1504</v>
      </c>
      <c r="H12" s="785" t="s">
        <v>1497</v>
      </c>
      <c r="I12" s="785" t="s">
        <v>1450</v>
      </c>
      <c r="J12" s="786">
        <v>1</v>
      </c>
      <c r="K12" s="787">
        <f>O12*1.1</f>
        <v>33000</v>
      </c>
      <c r="L12" s="788" t="e">
        <f>VLOOKUP(B12,#REF!,13,FALSE)</f>
        <v>#REF!</v>
      </c>
      <c r="M12" s="788">
        <v>0</v>
      </c>
      <c r="N12" s="789" t="e">
        <f>VLOOKUP(B12,#REF!,18,FALSE)</f>
        <v>#REF!</v>
      </c>
      <c r="O12" s="790">
        <v>30000</v>
      </c>
      <c r="P12" s="790">
        <v>18000</v>
      </c>
      <c r="Q12" s="791">
        <f>VLOOKUP(B12,'[10]zadanky all_011122'!$I$2:$J$79,2,FALSE)</f>
        <v>274015.32795000001</v>
      </c>
      <c r="R12" s="792">
        <f t="shared" si="0"/>
        <v>-244015.32795000001</v>
      </c>
      <c r="S12" s="792"/>
      <c r="T12" s="809">
        <v>1</v>
      </c>
      <c r="U12" s="798">
        <v>50000</v>
      </c>
      <c r="V12" s="794">
        <v>25000</v>
      </c>
      <c r="W12" s="792">
        <f>VLOOKUP(B12,'[10]zadanky all_011122'!$I$2:$J$72,2,FALSE)</f>
        <v>274015.32795000001</v>
      </c>
      <c r="X12" s="795">
        <f t="shared" si="1"/>
        <v>-249015.32795000001</v>
      </c>
      <c r="Y12" s="794" t="e">
        <f t="shared" si="2"/>
        <v>#REF!</v>
      </c>
      <c r="Z12" s="794">
        <f t="shared" si="3"/>
        <v>-249015.32795000001</v>
      </c>
      <c r="AA12" s="796"/>
      <c r="AB12" s="796"/>
      <c r="AC12" s="796"/>
      <c r="AD12" s="796">
        <v>0</v>
      </c>
      <c r="AE12" s="792" t="s">
        <v>1498</v>
      </c>
      <c r="AF12" s="797" t="s">
        <v>1499</v>
      </c>
      <c r="AG12" s="796">
        <v>45000</v>
      </c>
      <c r="AH12" s="785"/>
      <c r="AI12" s="791">
        <v>17990.1296</v>
      </c>
      <c r="AJ12" s="792">
        <f t="shared" si="4"/>
        <v>-493030.65590000001</v>
      </c>
      <c r="AK12" s="797" t="s">
        <v>1514</v>
      </c>
      <c r="AL12" s="1164"/>
    </row>
    <row r="13" spans="1:38">
      <c r="A13" s="810">
        <v>58</v>
      </c>
      <c r="B13" s="811">
        <v>190</v>
      </c>
      <c r="C13" s="811"/>
      <c r="D13" s="811"/>
      <c r="E13" s="812" t="s">
        <v>1515</v>
      </c>
      <c r="F13" s="813" t="s">
        <v>1510</v>
      </c>
      <c r="G13" s="813"/>
      <c r="H13" s="801"/>
      <c r="I13" s="801"/>
      <c r="J13" s="801"/>
      <c r="K13" s="802">
        <f>O13*1.1</f>
        <v>0</v>
      </c>
      <c r="L13" s="802" t="e">
        <f>VLOOKUP(B13,#REF!,13,FALSE)</f>
        <v>#REF!</v>
      </c>
      <c r="M13" s="802">
        <v>0</v>
      </c>
      <c r="N13" s="802" t="e">
        <f>VLOOKUP(B13,#REF!,18,FALSE)</f>
        <v>#REF!</v>
      </c>
      <c r="O13" s="803">
        <v>0</v>
      </c>
      <c r="P13" s="803">
        <f>VLOOKUP(B13,'[11]2024'!$B$5:$AG$71,18,FALSE)</f>
        <v>0</v>
      </c>
      <c r="Q13" s="804">
        <f>VLOOKUP(B13,'[10]zadanky all_011122'!$I$2:$J$79,2,FALSE)</f>
        <v>0</v>
      </c>
      <c r="R13" s="814">
        <f t="shared" si="0"/>
        <v>0</v>
      </c>
      <c r="S13" s="814"/>
      <c r="T13" s="811"/>
      <c r="U13" s="801"/>
      <c r="V13" s="801">
        <v>0</v>
      </c>
      <c r="W13" s="801">
        <f>VLOOKUP(B13,'[10]zadanky all_011122'!$I$2:$J$72,2,FALSE)</f>
        <v>0</v>
      </c>
      <c r="X13" s="801">
        <f t="shared" si="1"/>
        <v>0</v>
      </c>
      <c r="Y13" s="801" t="e">
        <f t="shared" si="2"/>
        <v>#REF!</v>
      </c>
      <c r="Z13" s="801">
        <f t="shared" si="3"/>
        <v>0</v>
      </c>
      <c r="AA13" s="815"/>
      <c r="AB13" s="815"/>
      <c r="AC13" s="815"/>
      <c r="AD13" s="806"/>
      <c r="AE13" s="806"/>
      <c r="AF13" s="806"/>
      <c r="AG13" s="806"/>
      <c r="AH13" s="814"/>
      <c r="AI13" s="804"/>
      <c r="AJ13" s="801">
        <f t="shared" si="4"/>
        <v>0</v>
      </c>
      <c r="AK13" s="816"/>
      <c r="AL13" s="1164"/>
    </row>
    <row r="14" spans="1:38">
      <c r="A14" s="783">
        <v>41</v>
      </c>
      <c r="B14" s="783">
        <v>210</v>
      </c>
      <c r="C14" s="783" t="s">
        <v>1516</v>
      </c>
      <c r="D14" s="783" t="s">
        <v>1517</v>
      </c>
      <c r="E14" s="808" t="s">
        <v>1518</v>
      </c>
      <c r="F14" s="817" t="s">
        <v>1519</v>
      </c>
      <c r="G14" s="784" t="s">
        <v>1504</v>
      </c>
      <c r="H14" s="785"/>
      <c r="I14" s="785"/>
      <c r="J14" s="785"/>
      <c r="K14" s="787">
        <v>0</v>
      </c>
      <c r="L14" s="788" t="e">
        <f>VLOOKUP(B14,#REF!,13,FALSE)</f>
        <v>#REF!</v>
      </c>
      <c r="M14" s="788">
        <v>0</v>
      </c>
      <c r="N14" s="789" t="e">
        <f>VLOOKUP(B14,#REF!,18,FALSE)</f>
        <v>#REF!</v>
      </c>
      <c r="O14" s="790">
        <v>0</v>
      </c>
      <c r="P14" s="790">
        <v>475112.99999999994</v>
      </c>
      <c r="Q14" s="791">
        <f>VLOOKUP(B14,'[10]zadanky all_011122'!$I$2:$J$79,2,FALSE)</f>
        <v>475112.99999999994</v>
      </c>
      <c r="R14" s="792">
        <f t="shared" si="0"/>
        <v>-475112.99999999994</v>
      </c>
      <c r="S14" s="792"/>
      <c r="T14" s="809">
        <v>1</v>
      </c>
      <c r="U14" s="818">
        <v>300000</v>
      </c>
      <c r="V14" s="794">
        <v>200000</v>
      </c>
      <c r="W14" s="792">
        <f>VLOOKUP(B14,'[10]zadanky all_011122'!$I$2:$J$72,2,FALSE)</f>
        <v>475112.99999999994</v>
      </c>
      <c r="X14" s="795">
        <f t="shared" si="1"/>
        <v>-275112.99999999994</v>
      </c>
      <c r="Y14" s="794" t="e">
        <f t="shared" si="2"/>
        <v>#REF!</v>
      </c>
      <c r="Z14" s="794">
        <f t="shared" si="3"/>
        <v>-275112.99999999994</v>
      </c>
      <c r="AA14" s="796"/>
      <c r="AB14" s="796"/>
      <c r="AC14" s="796"/>
      <c r="AD14" s="796">
        <v>380000</v>
      </c>
      <c r="AE14" s="792" t="s">
        <v>1520</v>
      </c>
      <c r="AF14" s="797" t="s">
        <v>1499</v>
      </c>
      <c r="AG14" s="796">
        <v>200000</v>
      </c>
      <c r="AH14" s="785"/>
      <c r="AI14" s="791">
        <v>72600</v>
      </c>
      <c r="AJ14" s="792">
        <f t="shared" si="4"/>
        <v>-750225.99999999988</v>
      </c>
      <c r="AK14" s="797"/>
      <c r="AL14" s="1164"/>
    </row>
    <row r="15" spans="1:38">
      <c r="A15" s="783">
        <v>45</v>
      </c>
      <c r="B15" s="799">
        <v>211</v>
      </c>
      <c r="C15" s="799"/>
      <c r="D15" s="799"/>
      <c r="E15" s="819" t="s">
        <v>1521</v>
      </c>
      <c r="F15" s="819" t="s">
        <v>1510</v>
      </c>
      <c r="G15" s="820" t="s">
        <v>1504</v>
      </c>
      <c r="H15" s="801"/>
      <c r="I15" s="801"/>
      <c r="J15" s="801"/>
      <c r="K15" s="802">
        <f>O15*1.1</f>
        <v>0</v>
      </c>
      <c r="L15" s="802" t="e">
        <f>VLOOKUP(B15,#REF!,13,FALSE)</f>
        <v>#REF!</v>
      </c>
      <c r="M15" s="802">
        <v>0</v>
      </c>
      <c r="N15" s="802" t="e">
        <f>VLOOKUP(B15,#REF!,18,FALSE)</f>
        <v>#REF!</v>
      </c>
      <c r="O15" s="803">
        <v>0</v>
      </c>
      <c r="P15" s="803">
        <f>VLOOKUP(B15,'[11]2024'!$B$5:$AG$71,18,FALSE)</f>
        <v>0</v>
      </c>
      <c r="Q15" s="804">
        <f>VLOOKUP(B15,'[10]zadanky all_011122'!$I$2:$J$79,2,FALSE)</f>
        <v>0</v>
      </c>
      <c r="R15" s="801">
        <f t="shared" si="0"/>
        <v>0</v>
      </c>
      <c r="S15" s="801"/>
      <c r="T15" s="805">
        <v>0</v>
      </c>
      <c r="U15" s="801">
        <v>50000</v>
      </c>
      <c r="V15" s="801">
        <v>45000</v>
      </c>
      <c r="W15" s="801">
        <f>VLOOKUP(B15,'[10]zadanky all_011122'!$I$2:$J$72,2,FALSE)</f>
        <v>0</v>
      </c>
      <c r="X15" s="801">
        <f t="shared" si="1"/>
        <v>45000</v>
      </c>
      <c r="Y15" s="801" t="e">
        <f t="shared" si="2"/>
        <v>#REF!</v>
      </c>
      <c r="Z15" s="801">
        <f t="shared" si="3"/>
        <v>45000</v>
      </c>
      <c r="AA15" s="806"/>
      <c r="AB15" s="806"/>
      <c r="AC15" s="806"/>
      <c r="AD15" s="806">
        <v>0</v>
      </c>
      <c r="AE15" s="801" t="s">
        <v>1498</v>
      </c>
      <c r="AF15" s="807" t="s">
        <v>1499</v>
      </c>
      <c r="AG15" s="806">
        <v>45000</v>
      </c>
      <c r="AH15" s="801"/>
      <c r="AI15" s="804" t="e">
        <v>#N/A</v>
      </c>
      <c r="AJ15" s="801" t="e">
        <f>AG15-AI15</f>
        <v>#N/A</v>
      </c>
      <c r="AK15" s="807"/>
      <c r="AL15" s="1164"/>
    </row>
    <row r="16" spans="1:38">
      <c r="A16" s="783">
        <v>29</v>
      </c>
      <c r="B16" s="783">
        <v>220</v>
      </c>
      <c r="C16" s="783" t="s">
        <v>1516</v>
      </c>
      <c r="D16" s="783" t="s">
        <v>1522</v>
      </c>
      <c r="E16" s="784" t="s">
        <v>1523</v>
      </c>
      <c r="F16" s="784" t="s">
        <v>1524</v>
      </c>
      <c r="G16" s="784" t="s">
        <v>1496</v>
      </c>
      <c r="H16" s="785" t="s">
        <v>1525</v>
      </c>
      <c r="I16" s="785" t="s">
        <v>1450</v>
      </c>
      <c r="J16" s="786">
        <v>1</v>
      </c>
      <c r="K16" s="787">
        <f>O16*1.1</f>
        <v>165000</v>
      </c>
      <c r="L16" s="788" t="e">
        <f>VLOOKUP(B16,#REF!,13,FALSE)</f>
        <v>#REF!</v>
      </c>
      <c r="M16" s="788">
        <v>0</v>
      </c>
      <c r="N16" s="789" t="e">
        <f>VLOOKUP(B16,#REF!,18,FALSE)</f>
        <v>#REF!</v>
      </c>
      <c r="O16" s="790">
        <v>150000</v>
      </c>
      <c r="P16" s="790">
        <v>120000</v>
      </c>
      <c r="Q16" s="791">
        <f>VLOOKUP(B16,'[10]zadanky all_011122'!$I$2:$J$79,2,FALSE)</f>
        <v>0</v>
      </c>
      <c r="R16" s="792">
        <f t="shared" si="0"/>
        <v>150000</v>
      </c>
      <c r="S16" s="792"/>
      <c r="T16" s="793">
        <v>0</v>
      </c>
      <c r="U16" s="821">
        <v>200000</v>
      </c>
      <c r="V16" s="794">
        <v>50000</v>
      </c>
      <c r="W16" s="792">
        <f>VLOOKUP(B16,'[10]zadanky all_011122'!$I$2:$J$72,2,FALSE)</f>
        <v>0</v>
      </c>
      <c r="X16" s="795">
        <f t="shared" si="1"/>
        <v>50000</v>
      </c>
      <c r="Y16" s="794" t="e">
        <f t="shared" si="2"/>
        <v>#REF!</v>
      </c>
      <c r="Z16" s="794">
        <f t="shared" si="3"/>
        <v>50000</v>
      </c>
      <c r="AA16" s="796"/>
      <c r="AB16" s="796"/>
      <c r="AC16" s="796"/>
      <c r="AD16" s="796">
        <v>0</v>
      </c>
      <c r="AE16" s="792" t="s">
        <v>1498</v>
      </c>
      <c r="AF16" s="797" t="s">
        <v>1519</v>
      </c>
      <c r="AG16" s="796">
        <v>0</v>
      </c>
      <c r="AH16" s="785"/>
      <c r="AI16" s="791">
        <v>0</v>
      </c>
      <c r="AJ16" s="792">
        <f>AG16-AI16</f>
        <v>0</v>
      </c>
      <c r="AK16" s="797" t="s">
        <v>1526</v>
      </c>
      <c r="AL16" s="1164"/>
    </row>
    <row r="17" spans="1:38">
      <c r="A17" s="783">
        <v>29</v>
      </c>
      <c r="B17" s="783">
        <v>221</v>
      </c>
      <c r="C17" s="783" t="s">
        <v>1516</v>
      </c>
      <c r="D17" s="783" t="s">
        <v>1522</v>
      </c>
      <c r="E17" s="784" t="s">
        <v>1527</v>
      </c>
      <c r="F17" s="817" t="s">
        <v>1519</v>
      </c>
      <c r="G17" s="784" t="s">
        <v>1504</v>
      </c>
      <c r="H17" s="785" t="str">
        <f>H7</f>
        <v>IT ROZPOČET 011122</v>
      </c>
      <c r="I17" s="785" t="s">
        <v>1450</v>
      </c>
      <c r="J17" s="786">
        <v>2</v>
      </c>
      <c r="K17" s="787">
        <f>1.1*O17</f>
        <v>0</v>
      </c>
      <c r="L17" s="788" t="e">
        <f>VLOOKUP(B17,#REF!,13,FALSE)</f>
        <v>#REF!</v>
      </c>
      <c r="M17" s="788">
        <v>0</v>
      </c>
      <c r="N17" s="789" t="e">
        <f>VLOOKUP(B17,#REF!,18,FALSE)</f>
        <v>#REF!</v>
      </c>
      <c r="O17" s="790">
        <v>0</v>
      </c>
      <c r="P17" s="790">
        <v>0</v>
      </c>
      <c r="Q17" s="791">
        <f>VLOOKUP(B17,'[10]zadanky all_011122'!$I$2:$J$79,2,FALSE)</f>
        <v>0</v>
      </c>
      <c r="R17" s="792">
        <f t="shared" si="0"/>
        <v>0</v>
      </c>
      <c r="S17" s="792"/>
      <c r="T17" s="793">
        <v>0</v>
      </c>
      <c r="U17" s="821">
        <v>200000</v>
      </c>
      <c r="V17" s="794">
        <v>50000</v>
      </c>
      <c r="W17" s="792">
        <f>VLOOKUP(B17,'[10]zadanky all_011122'!$I$2:$J$72,2,FALSE)</f>
        <v>0</v>
      </c>
      <c r="X17" s="795">
        <f t="shared" si="1"/>
        <v>50000</v>
      </c>
      <c r="Y17" s="794" t="e">
        <f t="shared" si="2"/>
        <v>#REF!</v>
      </c>
      <c r="Z17" s="794">
        <f t="shared" si="3"/>
        <v>50000</v>
      </c>
      <c r="AA17" s="796"/>
      <c r="AB17" s="796"/>
      <c r="AC17" s="796"/>
      <c r="AD17" s="796">
        <v>0</v>
      </c>
      <c r="AE17" s="792" t="s">
        <v>1498</v>
      </c>
      <c r="AF17" s="797" t="s">
        <v>1519</v>
      </c>
      <c r="AG17" s="796">
        <v>0</v>
      </c>
      <c r="AH17" s="785"/>
      <c r="AI17" s="791">
        <v>0</v>
      </c>
      <c r="AJ17" s="792">
        <f>AG17-AI17</f>
        <v>0</v>
      </c>
      <c r="AK17" s="797" t="s">
        <v>1528</v>
      </c>
      <c r="AL17" s="1164"/>
    </row>
    <row r="18" spans="1:38">
      <c r="A18" s="783">
        <v>29</v>
      </c>
      <c r="B18" s="799">
        <v>222</v>
      </c>
      <c r="C18" s="799" t="s">
        <v>1516</v>
      </c>
      <c r="D18" s="799" t="s">
        <v>1522</v>
      </c>
      <c r="E18" s="820" t="s">
        <v>1529</v>
      </c>
      <c r="F18" s="820" t="s">
        <v>1524</v>
      </c>
      <c r="G18" s="820" t="s">
        <v>1504</v>
      </c>
      <c r="H18" s="801" t="s">
        <v>1525</v>
      </c>
      <c r="I18" s="801" t="s">
        <v>1450</v>
      </c>
      <c r="J18" s="807">
        <v>1</v>
      </c>
      <c r="K18" s="802">
        <f>1.1*O18</f>
        <v>0</v>
      </c>
      <c r="L18" s="802"/>
      <c r="M18" s="802">
        <v>0</v>
      </c>
      <c r="N18" s="802"/>
      <c r="O18" s="803">
        <v>0</v>
      </c>
      <c r="P18" s="803">
        <v>0</v>
      </c>
      <c r="Q18" s="804">
        <f>VLOOKUP(B18,'[10]zadanky all_011122'!$I$2:$J$79,2,FALSE)</f>
        <v>0</v>
      </c>
      <c r="R18" s="801">
        <v>0</v>
      </c>
      <c r="S18" s="801"/>
      <c r="T18" s="805"/>
      <c r="U18" s="801"/>
      <c r="V18" s="801"/>
      <c r="W18" s="801"/>
      <c r="X18" s="801"/>
      <c r="Y18" s="801"/>
      <c r="Z18" s="801"/>
      <c r="AA18" s="806"/>
      <c r="AB18" s="806"/>
      <c r="AC18" s="806"/>
      <c r="AD18" s="806"/>
      <c r="AE18" s="801"/>
      <c r="AF18" s="807"/>
      <c r="AG18" s="806"/>
      <c r="AH18" s="801"/>
      <c r="AI18" s="804"/>
      <c r="AJ18" s="801"/>
      <c r="AK18" s="807" t="s">
        <v>1528</v>
      </c>
      <c r="AL18" s="1164"/>
    </row>
    <row r="19" spans="1:38">
      <c r="A19" s="783">
        <v>29</v>
      </c>
      <c r="B19" s="783">
        <v>223</v>
      </c>
      <c r="C19" s="783" t="s">
        <v>1516</v>
      </c>
      <c r="D19" s="783" t="s">
        <v>1522</v>
      </c>
      <c r="E19" s="784" t="s">
        <v>1530</v>
      </c>
      <c r="F19" s="784" t="s">
        <v>1519</v>
      </c>
      <c r="G19" s="784" t="s">
        <v>1504</v>
      </c>
      <c r="H19" s="785"/>
      <c r="I19" s="785"/>
      <c r="J19" s="785"/>
      <c r="K19" s="787">
        <v>0</v>
      </c>
      <c r="L19" s="788"/>
      <c r="M19" s="788">
        <v>0</v>
      </c>
      <c r="N19" s="789"/>
      <c r="O19" s="790">
        <v>0</v>
      </c>
      <c r="P19" s="790">
        <v>0</v>
      </c>
      <c r="Q19" s="791">
        <f>VLOOKUP(B19,'[10]zadanky all_011122'!$I$2:$J$79,2,FALSE)</f>
        <v>0</v>
      </c>
      <c r="R19" s="792">
        <v>0</v>
      </c>
      <c r="S19" s="792"/>
      <c r="T19" s="793"/>
      <c r="U19" s="821"/>
      <c r="V19" s="794"/>
      <c r="W19" s="792"/>
      <c r="X19" s="795"/>
      <c r="Y19" s="794"/>
      <c r="Z19" s="794"/>
      <c r="AA19" s="796"/>
      <c r="AB19" s="796"/>
      <c r="AC19" s="796"/>
      <c r="AD19" s="796"/>
      <c r="AE19" s="792"/>
      <c r="AF19" s="797"/>
      <c r="AG19" s="796"/>
      <c r="AH19" s="785"/>
      <c r="AI19" s="791"/>
      <c r="AJ19" s="792"/>
      <c r="AK19" s="797"/>
      <c r="AL19" s="1164"/>
    </row>
    <row r="20" spans="1:38">
      <c r="A20" s="783">
        <v>29</v>
      </c>
      <c r="B20" s="783">
        <v>224</v>
      </c>
      <c r="C20" s="783" t="s">
        <v>1516</v>
      </c>
      <c r="D20" s="783" t="s">
        <v>1506</v>
      </c>
      <c r="E20" s="784" t="s">
        <v>1531</v>
      </c>
      <c r="F20" s="784" t="s">
        <v>1524</v>
      </c>
      <c r="G20" s="784" t="s">
        <v>1504</v>
      </c>
      <c r="H20" s="785" t="s">
        <v>1525</v>
      </c>
      <c r="I20" s="785" t="s">
        <v>1450</v>
      </c>
      <c r="J20" s="786">
        <v>1</v>
      </c>
      <c r="K20" s="787">
        <f>1.1*O20</f>
        <v>49500.000000000007</v>
      </c>
      <c r="L20" s="788"/>
      <c r="M20" s="788">
        <v>0</v>
      </c>
      <c r="N20" s="789"/>
      <c r="O20" s="790">
        <v>45000</v>
      </c>
      <c r="P20" s="790">
        <v>45000</v>
      </c>
      <c r="Q20" s="791">
        <f>VLOOKUP(B20,'[10]zadanky all_011122'!$I$2:$J$79,2,FALSE)</f>
        <v>0</v>
      </c>
      <c r="R20" s="792">
        <v>0</v>
      </c>
      <c r="S20" s="792"/>
      <c r="T20" s="793"/>
      <c r="U20" s="821"/>
      <c r="V20" s="794"/>
      <c r="W20" s="792"/>
      <c r="X20" s="795"/>
      <c r="Y20" s="794"/>
      <c r="Z20" s="794"/>
      <c r="AA20" s="796"/>
      <c r="AB20" s="796"/>
      <c r="AC20" s="796"/>
      <c r="AD20" s="796"/>
      <c r="AE20" s="792"/>
      <c r="AF20" s="797"/>
      <c r="AG20" s="796"/>
      <c r="AH20" s="785"/>
      <c r="AI20" s="791"/>
      <c r="AJ20" s="792"/>
      <c r="AK20" s="797" t="s">
        <v>1532</v>
      </c>
      <c r="AL20" s="1164"/>
    </row>
    <row r="21" spans="1:38">
      <c r="A21" s="783">
        <v>59</v>
      </c>
      <c r="B21" s="783">
        <v>290</v>
      </c>
      <c r="C21" s="783" t="s">
        <v>1516</v>
      </c>
      <c r="D21" s="783" t="s">
        <v>1522</v>
      </c>
      <c r="E21" s="808" t="s">
        <v>1533</v>
      </c>
      <c r="F21" s="817" t="s">
        <v>1519</v>
      </c>
      <c r="G21" s="784" t="s">
        <v>1504</v>
      </c>
      <c r="H21" s="785"/>
      <c r="I21" s="785"/>
      <c r="J21" s="785"/>
      <c r="K21" s="787">
        <f>O21*1.1</f>
        <v>0</v>
      </c>
      <c r="L21" s="788" t="e">
        <f>VLOOKUP(B21,#REF!,13,FALSE)</f>
        <v>#REF!</v>
      </c>
      <c r="M21" s="788">
        <v>0</v>
      </c>
      <c r="N21" s="789" t="e">
        <f>VLOOKUP(B21,#REF!,18,FALSE)</f>
        <v>#REF!</v>
      </c>
      <c r="O21" s="790">
        <v>0</v>
      </c>
      <c r="P21" s="790">
        <v>0</v>
      </c>
      <c r="Q21" s="791">
        <f>VLOOKUP(B21,'[10]zadanky all_011122'!$I$2:$J$79,2,FALSE)</f>
        <v>8708</v>
      </c>
      <c r="R21" s="792">
        <f t="shared" ref="R21:R83" si="5">SUM(O21-Q21)</f>
        <v>-8708</v>
      </c>
      <c r="S21" s="792"/>
      <c r="T21" s="822"/>
      <c r="U21" s="792"/>
      <c r="V21" s="794">
        <v>0</v>
      </c>
      <c r="W21" s="792">
        <f>VLOOKUP(B21,'[10]zadanky all_011122'!$I$2:$J$72,2,FALSE)</f>
        <v>8708</v>
      </c>
      <c r="X21" s="795">
        <f>V21-W21</f>
        <v>-8708</v>
      </c>
      <c r="Y21" s="794" t="e">
        <f>SUM(L21-Q21)+SUM(V21-W21)</f>
        <v>#REF!</v>
      </c>
      <c r="Z21" s="794">
        <f>X21</f>
        <v>-8708</v>
      </c>
      <c r="AA21" s="796"/>
      <c r="AB21" s="796"/>
      <c r="AC21" s="796"/>
      <c r="AD21" s="796"/>
      <c r="AE21" s="796"/>
      <c r="AF21" s="796"/>
      <c r="AG21" s="796"/>
      <c r="AH21" s="785"/>
      <c r="AI21" s="791"/>
      <c r="AJ21" s="792"/>
      <c r="AK21" s="797"/>
      <c r="AL21" s="1164"/>
    </row>
    <row r="22" spans="1:38">
      <c r="A22" s="783">
        <v>17</v>
      </c>
      <c r="B22" s="783">
        <v>310</v>
      </c>
      <c r="C22" s="783" t="s">
        <v>1534</v>
      </c>
      <c r="D22" s="783" t="s">
        <v>145</v>
      </c>
      <c r="E22" s="823" t="s">
        <v>1535</v>
      </c>
      <c r="F22" s="824" t="s">
        <v>1495</v>
      </c>
      <c r="G22" s="825" t="s">
        <v>1504</v>
      </c>
      <c r="H22" s="785" t="s">
        <v>1497</v>
      </c>
      <c r="I22" s="785" t="s">
        <v>1450</v>
      </c>
      <c r="J22" s="786">
        <v>2</v>
      </c>
      <c r="K22" s="787">
        <f>O22*1.1</f>
        <v>110000.00000000001</v>
      </c>
      <c r="L22" s="788" t="e">
        <f>VLOOKUP(B22,#REF!,13,FALSE)</f>
        <v>#REF!</v>
      </c>
      <c r="M22" s="788">
        <v>0</v>
      </c>
      <c r="N22" s="789" t="e">
        <f>VLOOKUP(B22,#REF!,18,FALSE)</f>
        <v>#REF!</v>
      </c>
      <c r="O22" s="790">
        <v>100000</v>
      </c>
      <c r="P22" s="790">
        <v>38000</v>
      </c>
      <c r="Q22" s="791">
        <f>VLOOKUP(B22,'[10]zadanky all_011122'!$I$2:$J$79,2,FALSE)</f>
        <v>37588</v>
      </c>
      <c r="R22" s="792">
        <f t="shared" si="5"/>
        <v>62412</v>
      </c>
      <c r="S22" s="792"/>
      <c r="T22" s="809">
        <v>1</v>
      </c>
      <c r="U22" s="826">
        <v>1000000</v>
      </c>
      <c r="V22" s="794">
        <v>0</v>
      </c>
      <c r="W22" s="792">
        <f>VLOOKUP(B22,'[10]zadanky all_011122'!$I$2:$J$72,2,FALSE)</f>
        <v>37588</v>
      </c>
      <c r="X22" s="795">
        <f>V22-W22</f>
        <v>-37588</v>
      </c>
      <c r="Y22" s="794" t="e">
        <f>SUM(L22-Q22)+SUM(V22-W22)</f>
        <v>#REF!</v>
      </c>
      <c r="Z22" s="794">
        <f>X22</f>
        <v>-37588</v>
      </c>
      <c r="AA22" s="796"/>
      <c r="AB22" s="796"/>
      <c r="AC22" s="796"/>
      <c r="AD22" s="796">
        <v>200000</v>
      </c>
      <c r="AE22" s="792" t="s">
        <v>1536</v>
      </c>
      <c r="AF22" s="797" t="s">
        <v>1499</v>
      </c>
      <c r="AG22" s="796">
        <v>135000</v>
      </c>
      <c r="AH22" s="785"/>
      <c r="AI22" s="791">
        <v>976844.18</v>
      </c>
      <c r="AJ22" s="792">
        <f>AG22-AI22</f>
        <v>-841844.18</v>
      </c>
      <c r="AK22" s="797" t="s">
        <v>1537</v>
      </c>
      <c r="AL22" s="1164"/>
    </row>
    <row r="23" spans="1:38">
      <c r="A23" s="783"/>
      <c r="B23" s="783">
        <v>311</v>
      </c>
      <c r="C23" s="783" t="s">
        <v>1534</v>
      </c>
      <c r="D23" s="783" t="s">
        <v>1538</v>
      </c>
      <c r="E23" s="823" t="s">
        <v>1539</v>
      </c>
      <c r="F23" s="824" t="s">
        <v>1450</v>
      </c>
      <c r="G23" s="825" t="s">
        <v>1504</v>
      </c>
      <c r="H23" s="785" t="s">
        <v>1497</v>
      </c>
      <c r="I23" s="785" t="s">
        <v>1540</v>
      </c>
      <c r="J23" s="786">
        <v>1</v>
      </c>
      <c r="K23" s="787">
        <f>1.1*O23</f>
        <v>385000.00000000006</v>
      </c>
      <c r="L23" s="788"/>
      <c r="M23" s="788">
        <v>0</v>
      </c>
      <c r="N23" s="789"/>
      <c r="O23" s="790">
        <v>350000</v>
      </c>
      <c r="P23" s="790">
        <f>VLOOKUP(B23,'[11]2024'!$B$5:$AG$71,18,FALSE)</f>
        <v>0</v>
      </c>
      <c r="Q23" s="791">
        <f>VLOOKUP(B23,'[10]zadanky all_011122'!$I$2:$J$79,2,FALSE)</f>
        <v>0</v>
      </c>
      <c r="R23" s="792">
        <f t="shared" si="5"/>
        <v>350000</v>
      </c>
      <c r="S23" s="792"/>
      <c r="T23" s="809"/>
      <c r="U23" s="826"/>
      <c r="V23" s="794"/>
      <c r="W23" s="792"/>
      <c r="X23" s="795"/>
      <c r="Y23" s="794"/>
      <c r="Z23" s="794"/>
      <c r="AA23" s="796"/>
      <c r="AB23" s="796"/>
      <c r="AC23" s="796"/>
      <c r="AD23" s="796"/>
      <c r="AE23" s="792"/>
      <c r="AF23" s="797"/>
      <c r="AG23" s="796"/>
      <c r="AH23" s="785"/>
      <c r="AI23" s="791"/>
      <c r="AJ23" s="792"/>
      <c r="AK23" s="797" t="s">
        <v>1541</v>
      </c>
      <c r="AL23" s="1164"/>
    </row>
    <row r="24" spans="1:38">
      <c r="A24" s="783">
        <v>22</v>
      </c>
      <c r="B24" s="783">
        <v>320</v>
      </c>
      <c r="C24" s="783" t="s">
        <v>1534</v>
      </c>
      <c r="D24" s="783" t="s">
        <v>1542</v>
      </c>
      <c r="E24" s="808" t="s">
        <v>1543</v>
      </c>
      <c r="F24" s="784" t="s">
        <v>1495</v>
      </c>
      <c r="G24" s="784" t="s">
        <v>1496</v>
      </c>
      <c r="H24" s="785" t="s">
        <v>1497</v>
      </c>
      <c r="I24" s="785" t="s">
        <v>1450</v>
      </c>
      <c r="J24" s="786">
        <v>3</v>
      </c>
      <c r="K24" s="787">
        <f>O24*1.1</f>
        <v>110000.00000000001</v>
      </c>
      <c r="L24" s="788" t="e">
        <f>VLOOKUP(B24,#REF!,13,FALSE)</f>
        <v>#REF!</v>
      </c>
      <c r="M24" s="788">
        <v>0</v>
      </c>
      <c r="N24" s="789" t="e">
        <f>VLOOKUP(B24,#REF!,18,FALSE)</f>
        <v>#REF!</v>
      </c>
      <c r="O24" s="790">
        <v>100000</v>
      </c>
      <c r="P24" s="790">
        <v>285000</v>
      </c>
      <c r="Q24" s="791">
        <f>VLOOKUP(B24,'[10]zadanky all_011122'!$I$2:$J$79,2,FALSE)</f>
        <v>285039</v>
      </c>
      <c r="R24" s="792">
        <f>SUM(O24-Q24)</f>
        <v>-185039</v>
      </c>
      <c r="S24" s="792"/>
      <c r="T24" s="809">
        <v>1</v>
      </c>
      <c r="U24" s="792">
        <v>120000</v>
      </c>
      <c r="V24" s="794">
        <v>120000</v>
      </c>
      <c r="W24" s="792">
        <f>VLOOKUP(B24,'[10]zadanky all_011122'!$I$2:$J$72,2,FALSE)</f>
        <v>285039</v>
      </c>
      <c r="X24" s="795">
        <f>V24-W24</f>
        <v>-165039</v>
      </c>
      <c r="Y24" s="794" t="e">
        <f>SUM(L24-Q24)+SUM(V24-W24)</f>
        <v>#REF!</v>
      </c>
      <c r="Z24" s="794">
        <f>X24</f>
        <v>-165039</v>
      </c>
      <c r="AA24" s="796"/>
      <c r="AB24" s="796"/>
      <c r="AC24" s="796"/>
      <c r="AD24" s="796">
        <v>100000</v>
      </c>
      <c r="AE24" s="792" t="s">
        <v>1536</v>
      </c>
      <c r="AF24" s="797" t="s">
        <v>1499</v>
      </c>
      <c r="AG24" s="796">
        <v>90000</v>
      </c>
      <c r="AH24" s="785"/>
      <c r="AI24" s="791">
        <v>76487</v>
      </c>
      <c r="AJ24" s="792">
        <f>AG24-AI24</f>
        <v>13513</v>
      </c>
      <c r="AK24" s="797" t="s">
        <v>1544</v>
      </c>
      <c r="AL24" s="1164"/>
    </row>
    <row r="25" spans="1:38">
      <c r="A25" s="783">
        <v>48</v>
      </c>
      <c r="B25" s="783">
        <v>321</v>
      </c>
      <c r="C25" s="783" t="s">
        <v>1534</v>
      </c>
      <c r="D25" s="783" t="s">
        <v>1545</v>
      </c>
      <c r="E25" s="808" t="s">
        <v>1546</v>
      </c>
      <c r="F25" s="784" t="s">
        <v>1495</v>
      </c>
      <c r="G25" s="784" t="s">
        <v>1496</v>
      </c>
      <c r="H25" s="785" t="s">
        <v>1497</v>
      </c>
      <c r="I25" s="785" t="s">
        <v>1540</v>
      </c>
      <c r="J25" s="786">
        <v>1</v>
      </c>
      <c r="K25" s="787">
        <f>1.1*O25</f>
        <v>660000</v>
      </c>
      <c r="L25" s="788" t="e">
        <f>VLOOKUP(B25,#REF!,13,FALSE)</f>
        <v>#REF!</v>
      </c>
      <c r="M25" s="788">
        <v>0</v>
      </c>
      <c r="N25" s="789" t="e">
        <f>VLOOKUP(B25,#REF!,18,FALSE)</f>
        <v>#REF!</v>
      </c>
      <c r="O25" s="790">
        <v>600000</v>
      </c>
      <c r="P25" s="790">
        <v>0</v>
      </c>
      <c r="Q25" s="791">
        <f>VLOOKUP(B25,'[10]zadanky all_011122'!$I$2:$J$79,2,FALSE)</f>
        <v>0</v>
      </c>
      <c r="R25" s="792">
        <f t="shared" si="5"/>
        <v>600000</v>
      </c>
      <c r="S25" s="792"/>
      <c r="T25" s="822">
        <v>1</v>
      </c>
      <c r="U25" s="792">
        <v>320000</v>
      </c>
      <c r="V25" s="794">
        <v>320000</v>
      </c>
      <c r="W25" s="792">
        <f>VLOOKUP(B25,'[10]zadanky all_011122'!$I$2:$J$72,2,FALSE)</f>
        <v>0</v>
      </c>
      <c r="X25" s="795">
        <f>V25-W25</f>
        <v>320000</v>
      </c>
      <c r="Y25" s="794" t="e">
        <f>SUM(L25-Q25)+SUM(V25-W25)</f>
        <v>#REF!</v>
      </c>
      <c r="Z25" s="794">
        <f>X25</f>
        <v>320000</v>
      </c>
      <c r="AA25" s="796"/>
      <c r="AB25" s="796"/>
      <c r="AC25" s="796"/>
      <c r="AD25" s="796">
        <v>0</v>
      </c>
      <c r="AE25" s="796">
        <v>0</v>
      </c>
      <c r="AF25" s="796">
        <v>0</v>
      </c>
      <c r="AG25" s="796">
        <v>0</v>
      </c>
      <c r="AH25" s="785"/>
      <c r="AI25" s="791"/>
      <c r="AJ25" s="792">
        <f>AG25-AI25</f>
        <v>0</v>
      </c>
      <c r="AK25" s="797" t="s">
        <v>1500</v>
      </c>
      <c r="AL25" s="1164"/>
    </row>
    <row r="26" spans="1:38">
      <c r="A26" s="783">
        <v>60</v>
      </c>
      <c r="B26" s="783">
        <v>330</v>
      </c>
      <c r="C26" s="783" t="s">
        <v>1534</v>
      </c>
      <c r="D26" s="783" t="s">
        <v>1547</v>
      </c>
      <c r="E26" s="808" t="s">
        <v>1548</v>
      </c>
      <c r="F26" s="784" t="s">
        <v>1495</v>
      </c>
      <c r="G26" s="784" t="s">
        <v>1504</v>
      </c>
      <c r="H26" s="785" t="s">
        <v>1497</v>
      </c>
      <c r="I26" s="785" t="s">
        <v>1450</v>
      </c>
      <c r="J26" s="786">
        <v>1</v>
      </c>
      <c r="K26" s="787">
        <f>1.1*O26</f>
        <v>22000</v>
      </c>
      <c r="L26" s="788" t="e">
        <f>VLOOKUP(B26,#REF!,13,FALSE)</f>
        <v>#REF!</v>
      </c>
      <c r="M26" s="788">
        <v>0</v>
      </c>
      <c r="N26" s="789" t="e">
        <f>VLOOKUP(B26,#REF!,18,FALSE)</f>
        <v>#REF!</v>
      </c>
      <c r="O26" s="790">
        <v>20000</v>
      </c>
      <c r="P26" s="790">
        <v>0</v>
      </c>
      <c r="Q26" s="791">
        <f>VLOOKUP(B26,'[10]zadanky all_011122'!$I$2:$J$79,2,FALSE)</f>
        <v>0</v>
      </c>
      <c r="R26" s="792">
        <f t="shared" si="5"/>
        <v>20000</v>
      </c>
      <c r="S26" s="792"/>
      <c r="T26" s="822"/>
      <c r="U26" s="792"/>
      <c r="V26" s="794">
        <v>0</v>
      </c>
      <c r="W26" s="792">
        <f>VLOOKUP(B26,'[10]zadanky all_011122'!$I$2:$J$72,2,FALSE)</f>
        <v>0</v>
      </c>
      <c r="X26" s="795">
        <f>V26-W26</f>
        <v>0</v>
      </c>
      <c r="Y26" s="794" t="e">
        <f>SUM(L26-Q26)+SUM(V26-W26)</f>
        <v>#REF!</v>
      </c>
      <c r="Z26" s="794">
        <f>X26</f>
        <v>0</v>
      </c>
      <c r="AA26" s="796"/>
      <c r="AB26" s="796"/>
      <c r="AC26" s="796"/>
      <c r="AD26" s="796"/>
      <c r="AE26" s="796"/>
      <c r="AF26" s="796"/>
      <c r="AG26" s="796"/>
      <c r="AH26" s="785"/>
      <c r="AI26" s="791"/>
      <c r="AJ26" s="792"/>
      <c r="AK26" s="797" t="s">
        <v>1549</v>
      </c>
      <c r="AL26" s="1164"/>
    </row>
    <row r="27" spans="1:38">
      <c r="A27" s="783">
        <v>49</v>
      </c>
      <c r="B27" s="783">
        <v>331</v>
      </c>
      <c r="C27" s="783" t="s">
        <v>1534</v>
      </c>
      <c r="D27" s="783" t="s">
        <v>145</v>
      </c>
      <c r="E27" s="808" t="s">
        <v>1550</v>
      </c>
      <c r="F27" s="784" t="s">
        <v>1495</v>
      </c>
      <c r="G27" s="784" t="s">
        <v>1504</v>
      </c>
      <c r="H27" s="785" t="s">
        <v>1497</v>
      </c>
      <c r="I27" s="785" t="s">
        <v>1450</v>
      </c>
      <c r="J27" s="786">
        <v>1</v>
      </c>
      <c r="K27" s="787">
        <f>1.1*O27</f>
        <v>22000</v>
      </c>
      <c r="L27" s="788" t="e">
        <f>VLOOKUP(B27,#REF!,13,FALSE)</f>
        <v>#REF!</v>
      </c>
      <c r="M27" s="788">
        <v>0</v>
      </c>
      <c r="N27" s="789" t="e">
        <f>VLOOKUP(B27,#REF!,18,FALSE)</f>
        <v>#REF!</v>
      </c>
      <c r="O27" s="790">
        <v>20000</v>
      </c>
      <c r="P27" s="790">
        <f>VLOOKUP(B27,'[11]2024'!$B$5:$AG$71,18,FALSE)</f>
        <v>0</v>
      </c>
      <c r="Q27" s="791">
        <f>VLOOKUP(B27,'[10]zadanky all_011122'!$I$2:$J$79,2,FALSE)</f>
        <v>0</v>
      </c>
      <c r="R27" s="792">
        <f t="shared" si="5"/>
        <v>20000</v>
      </c>
      <c r="S27" s="792"/>
      <c r="T27" s="822">
        <v>1</v>
      </c>
      <c r="U27" s="792">
        <v>30000</v>
      </c>
      <c r="V27" s="794">
        <v>30000</v>
      </c>
      <c r="W27" s="792">
        <f>VLOOKUP(B27,'[10]zadanky all_011122'!$I$2:$J$72,2,FALSE)</f>
        <v>0</v>
      </c>
      <c r="X27" s="795">
        <f>V27-W27</f>
        <v>30000</v>
      </c>
      <c r="Y27" s="794" t="e">
        <f>SUM(L27-Q27)+SUM(V27-W27)</f>
        <v>#REF!</v>
      </c>
      <c r="Z27" s="794">
        <f>X27</f>
        <v>30000</v>
      </c>
      <c r="AA27" s="796"/>
      <c r="AB27" s="796"/>
      <c r="AC27" s="796"/>
      <c r="AD27" s="796">
        <v>0</v>
      </c>
      <c r="AE27" s="796">
        <v>0</v>
      </c>
      <c r="AF27" s="796">
        <v>0</v>
      </c>
      <c r="AG27" s="796">
        <v>0</v>
      </c>
      <c r="AH27" s="785"/>
      <c r="AI27" s="791"/>
      <c r="AJ27" s="792">
        <f>AG27-AI27</f>
        <v>0</v>
      </c>
      <c r="AK27" s="797" t="s">
        <v>1549</v>
      </c>
      <c r="AL27" s="1164"/>
    </row>
    <row r="28" spans="1:38">
      <c r="A28" s="783"/>
      <c r="B28" s="783">
        <v>332</v>
      </c>
      <c r="C28" s="783" t="s">
        <v>1534</v>
      </c>
      <c r="D28" s="783" t="s">
        <v>1506</v>
      </c>
      <c r="E28" s="827" t="s">
        <v>1551</v>
      </c>
      <c r="F28" s="784" t="s">
        <v>1495</v>
      </c>
      <c r="G28" s="784" t="s">
        <v>1496</v>
      </c>
      <c r="H28" s="785" t="s">
        <v>1497</v>
      </c>
      <c r="I28" s="785" t="s">
        <v>1450</v>
      </c>
      <c r="J28" s="786">
        <v>1</v>
      </c>
      <c r="K28" s="787">
        <f t="shared" ref="K28:K34" si="6">O28*1.1</f>
        <v>187000.00000000003</v>
      </c>
      <c r="L28" s="788"/>
      <c r="M28" s="788">
        <v>0</v>
      </c>
      <c r="N28" s="789"/>
      <c r="O28" s="790">
        <v>170000</v>
      </c>
      <c r="P28" s="790">
        <f>VLOOKUP(B28,'[11]2024'!$B$5:$AG$71,18,FALSE)</f>
        <v>0</v>
      </c>
      <c r="Q28" s="791">
        <f>VLOOKUP(B28,'[10]zadanky all_011122'!$I$2:$J$79,2,FALSE)</f>
        <v>0</v>
      </c>
      <c r="R28" s="792">
        <f t="shared" si="5"/>
        <v>170000</v>
      </c>
      <c r="S28" s="792"/>
      <c r="T28" s="822"/>
      <c r="U28" s="792"/>
      <c r="V28" s="794"/>
      <c r="W28" s="792"/>
      <c r="X28" s="795"/>
      <c r="Y28" s="794"/>
      <c r="Z28" s="794"/>
      <c r="AA28" s="796"/>
      <c r="AB28" s="796"/>
      <c r="AC28" s="796"/>
      <c r="AD28" s="796"/>
      <c r="AE28" s="796"/>
      <c r="AF28" s="796"/>
      <c r="AG28" s="796"/>
      <c r="AH28" s="785"/>
      <c r="AI28" s="791"/>
      <c r="AJ28" s="792"/>
      <c r="AK28" s="797" t="s">
        <v>1552</v>
      </c>
      <c r="AL28" s="1164"/>
    </row>
    <row r="29" spans="1:38">
      <c r="A29" s="783">
        <v>20</v>
      </c>
      <c r="B29" s="783">
        <v>341</v>
      </c>
      <c r="C29" s="783" t="s">
        <v>1492</v>
      </c>
      <c r="D29" s="783" t="s">
        <v>1506</v>
      </c>
      <c r="E29" s="808" t="s">
        <v>1553</v>
      </c>
      <c r="F29" s="784" t="s">
        <v>1450</v>
      </c>
      <c r="G29" s="784" t="s">
        <v>1504</v>
      </c>
      <c r="H29" s="785" t="s">
        <v>1497</v>
      </c>
      <c r="I29" s="785" t="s">
        <v>1450</v>
      </c>
      <c r="J29" s="786">
        <v>3</v>
      </c>
      <c r="K29" s="787">
        <f t="shared" si="6"/>
        <v>11000</v>
      </c>
      <c r="L29" s="788" t="e">
        <f>VLOOKUP(B29,#REF!,13,FALSE)</f>
        <v>#REF!</v>
      </c>
      <c r="M29" s="788">
        <v>0</v>
      </c>
      <c r="N29" s="789" t="e">
        <f>VLOOKUP(B29,#REF!,18,FALSE)</f>
        <v>#REF!</v>
      </c>
      <c r="O29" s="790">
        <v>10000</v>
      </c>
      <c r="P29" s="790">
        <f>VLOOKUP(B29,'[11]2024'!$B$5:$AG$71,18,FALSE)</f>
        <v>0</v>
      </c>
      <c r="Q29" s="791">
        <f>VLOOKUP(B29,'[10]zadanky all_011122'!$I$2:$J$79,2,FALSE)</f>
        <v>0</v>
      </c>
      <c r="R29" s="792">
        <f t="shared" si="5"/>
        <v>10000</v>
      </c>
      <c r="S29" s="792"/>
      <c r="T29" s="809" t="s">
        <v>1554</v>
      </c>
      <c r="U29" s="798">
        <v>10000</v>
      </c>
      <c r="V29" s="794">
        <v>0</v>
      </c>
      <c r="W29" s="792">
        <f>VLOOKUP(B29,'[10]zadanky all_011122'!$I$2:$J$72,2,FALSE)</f>
        <v>0</v>
      </c>
      <c r="X29" s="795">
        <f t="shared" ref="X29:X35" si="7">V29-W29</f>
        <v>0</v>
      </c>
      <c r="Y29" s="794" t="e">
        <f t="shared" ref="Y29:Y35" si="8">SUM(L29-Q29)+SUM(V29-W29)</f>
        <v>#REF!</v>
      </c>
      <c r="Z29" s="794">
        <f t="shared" ref="Z29:Z35" si="9">X29</f>
        <v>0</v>
      </c>
      <c r="AA29" s="796"/>
      <c r="AB29" s="796"/>
      <c r="AC29" s="796"/>
      <c r="AD29" s="796">
        <v>0</v>
      </c>
      <c r="AE29" s="792" t="s">
        <v>1498</v>
      </c>
      <c r="AF29" s="797" t="s">
        <v>1499</v>
      </c>
      <c r="AG29" s="796">
        <v>10000</v>
      </c>
      <c r="AH29" s="785">
        <v>10000</v>
      </c>
      <c r="AI29" s="791">
        <v>0</v>
      </c>
      <c r="AJ29" s="792">
        <f t="shared" ref="AJ29:AJ35" si="10">AG29-AI29</f>
        <v>10000</v>
      </c>
      <c r="AK29" s="797" t="s">
        <v>1555</v>
      </c>
      <c r="AL29" s="1164"/>
    </row>
    <row r="30" spans="1:38">
      <c r="A30" s="783">
        <v>4</v>
      </c>
      <c r="B30" s="783">
        <v>342</v>
      </c>
      <c r="C30" s="783" t="s">
        <v>1492</v>
      </c>
      <c r="D30" s="783" t="s">
        <v>1506</v>
      </c>
      <c r="E30" s="828" t="s">
        <v>1556</v>
      </c>
      <c r="F30" s="784" t="s">
        <v>1495</v>
      </c>
      <c r="G30" s="784" t="s">
        <v>1496</v>
      </c>
      <c r="H30" s="785" t="s">
        <v>1497</v>
      </c>
      <c r="I30" s="785" t="s">
        <v>1450</v>
      </c>
      <c r="J30" s="786">
        <v>1</v>
      </c>
      <c r="K30" s="787">
        <f t="shared" si="6"/>
        <v>275000</v>
      </c>
      <c r="L30" s="788" t="e">
        <f>VLOOKUP(B30,#REF!,13,FALSE)</f>
        <v>#REF!</v>
      </c>
      <c r="M30" s="788">
        <v>0</v>
      </c>
      <c r="N30" s="789" t="e">
        <f>VLOOKUP(B30,#REF!,18,FALSE)</f>
        <v>#REF!</v>
      </c>
      <c r="O30" s="790">
        <v>250000</v>
      </c>
      <c r="P30" s="790">
        <v>150000</v>
      </c>
      <c r="Q30" s="791">
        <f>VLOOKUP(B30,'[10]zadanky all_011122'!$I$2:$J$79,2,FALSE)</f>
        <v>0</v>
      </c>
      <c r="R30" s="792">
        <f t="shared" si="5"/>
        <v>250000</v>
      </c>
      <c r="S30" s="792"/>
      <c r="T30" s="793">
        <v>0</v>
      </c>
      <c r="U30" s="798">
        <v>350000</v>
      </c>
      <c r="V30" s="794">
        <v>350000</v>
      </c>
      <c r="W30" s="792">
        <f>VLOOKUP(B30,'[10]zadanky all_011122'!$I$2:$J$72,2,FALSE)</f>
        <v>0</v>
      </c>
      <c r="X30" s="795">
        <f t="shared" si="7"/>
        <v>350000</v>
      </c>
      <c r="Y30" s="794" t="e">
        <f t="shared" si="8"/>
        <v>#REF!</v>
      </c>
      <c r="Z30" s="794">
        <f t="shared" si="9"/>
        <v>350000</v>
      </c>
      <c r="AA30" s="796"/>
      <c r="AB30" s="796"/>
      <c r="AC30" s="796"/>
      <c r="AD30" s="796">
        <v>0</v>
      </c>
      <c r="AE30" s="792" t="s">
        <v>1498</v>
      </c>
      <c r="AF30" s="797" t="s">
        <v>1499</v>
      </c>
      <c r="AG30" s="796">
        <v>180000</v>
      </c>
      <c r="AH30" s="785"/>
      <c r="AI30" s="791">
        <v>151.56</v>
      </c>
      <c r="AJ30" s="792">
        <f t="shared" si="10"/>
        <v>179848.44</v>
      </c>
      <c r="AK30" s="797" t="s">
        <v>1557</v>
      </c>
      <c r="AL30" s="1164"/>
    </row>
    <row r="31" spans="1:38">
      <c r="A31" s="783">
        <v>6</v>
      </c>
      <c r="B31" s="783">
        <v>343</v>
      </c>
      <c r="C31" s="783" t="s">
        <v>1492</v>
      </c>
      <c r="D31" s="783" t="s">
        <v>1506</v>
      </c>
      <c r="E31" s="829" t="s">
        <v>1558</v>
      </c>
      <c r="F31" s="784" t="s">
        <v>1495</v>
      </c>
      <c r="G31" s="784" t="s">
        <v>1496</v>
      </c>
      <c r="H31" s="785" t="s">
        <v>1497</v>
      </c>
      <c r="I31" s="785" t="s">
        <v>1450</v>
      </c>
      <c r="J31" s="786">
        <v>1</v>
      </c>
      <c r="K31" s="787">
        <f t="shared" si="6"/>
        <v>165000</v>
      </c>
      <c r="L31" s="788" t="e">
        <f>VLOOKUP(B31,#REF!,13,FALSE)</f>
        <v>#REF!</v>
      </c>
      <c r="M31" s="788">
        <v>0</v>
      </c>
      <c r="N31" s="789" t="e">
        <f>VLOOKUP(B31,#REF!,18,FALSE)</f>
        <v>#REF!</v>
      </c>
      <c r="O31" s="790">
        <v>150000</v>
      </c>
      <c r="P31" s="790">
        <v>0</v>
      </c>
      <c r="Q31" s="791">
        <f>VLOOKUP(B31,'[10]zadanky all_011122'!$I$2:$J$79,2,FALSE)</f>
        <v>0</v>
      </c>
      <c r="R31" s="792">
        <f t="shared" si="5"/>
        <v>150000</v>
      </c>
      <c r="S31" s="792"/>
      <c r="T31" s="793">
        <v>0</v>
      </c>
      <c r="U31" s="798">
        <v>500000</v>
      </c>
      <c r="V31" s="794">
        <v>50000</v>
      </c>
      <c r="W31" s="792">
        <f>VLOOKUP(B31,'[10]zadanky all_011122'!$I$2:$J$72,2,FALSE)</f>
        <v>0</v>
      </c>
      <c r="X31" s="795">
        <f t="shared" si="7"/>
        <v>50000</v>
      </c>
      <c r="Y31" s="794" t="e">
        <f t="shared" si="8"/>
        <v>#REF!</v>
      </c>
      <c r="Z31" s="794">
        <f t="shared" si="9"/>
        <v>50000</v>
      </c>
      <c r="AA31" s="796"/>
      <c r="AB31" s="796"/>
      <c r="AC31" s="796"/>
      <c r="AD31" s="796">
        <v>0</v>
      </c>
      <c r="AE31" s="792" t="s">
        <v>1498</v>
      </c>
      <c r="AF31" s="797" t="s">
        <v>1499</v>
      </c>
      <c r="AG31" s="796">
        <v>90000</v>
      </c>
      <c r="AH31" s="785"/>
      <c r="AI31" s="791">
        <v>115105.60000000001</v>
      </c>
      <c r="AJ31" s="792">
        <f t="shared" si="10"/>
        <v>-25105.600000000006</v>
      </c>
      <c r="AK31" s="797" t="s">
        <v>1559</v>
      </c>
      <c r="AL31" s="1164"/>
    </row>
    <row r="32" spans="1:38">
      <c r="A32" s="783">
        <v>47</v>
      </c>
      <c r="B32" s="783">
        <v>344</v>
      </c>
      <c r="C32" s="783" t="s">
        <v>1492</v>
      </c>
      <c r="D32" s="783" t="s">
        <v>1506</v>
      </c>
      <c r="E32" s="830" t="s">
        <v>1560</v>
      </c>
      <c r="F32" s="784" t="s">
        <v>1495</v>
      </c>
      <c r="G32" s="784" t="s">
        <v>1496</v>
      </c>
      <c r="H32" s="785" t="s">
        <v>1497</v>
      </c>
      <c r="I32" s="785" t="s">
        <v>1540</v>
      </c>
      <c r="J32" s="786">
        <v>1</v>
      </c>
      <c r="K32" s="787">
        <f t="shared" si="6"/>
        <v>231000.00000000003</v>
      </c>
      <c r="L32" s="788" t="e">
        <f>VLOOKUP(B32,#REF!,13,FALSE)</f>
        <v>#REF!</v>
      </c>
      <c r="M32" s="788">
        <v>0</v>
      </c>
      <c r="N32" s="789" t="e">
        <f>VLOOKUP(B32,#REF!,18,FALSE)</f>
        <v>#REF!</v>
      </c>
      <c r="O32" s="790">
        <v>210000</v>
      </c>
      <c r="P32" s="790">
        <v>187000</v>
      </c>
      <c r="Q32" s="791">
        <f>VLOOKUP(B32,'[10]zadanky all_011122'!$I$2:$J$79,2,FALSE)</f>
        <v>34539.449999999997</v>
      </c>
      <c r="R32" s="792">
        <f t="shared" si="5"/>
        <v>175460.55</v>
      </c>
      <c r="S32" s="792"/>
      <c r="T32" s="822">
        <v>1</v>
      </c>
      <c r="U32" s="792">
        <v>870000</v>
      </c>
      <c r="V32" s="794">
        <v>870000</v>
      </c>
      <c r="W32" s="792">
        <f>VLOOKUP(B32,'[10]zadanky all_011122'!$I$2:$J$72,2,FALSE)</f>
        <v>34539.449999999997</v>
      </c>
      <c r="X32" s="795">
        <f t="shared" si="7"/>
        <v>835460.55</v>
      </c>
      <c r="Y32" s="794" t="e">
        <f t="shared" si="8"/>
        <v>#REF!</v>
      </c>
      <c r="Z32" s="794">
        <f t="shared" si="9"/>
        <v>835460.55</v>
      </c>
      <c r="AA32" s="796"/>
      <c r="AB32" s="796"/>
      <c r="AC32" s="796"/>
      <c r="AD32" s="796">
        <v>0</v>
      </c>
      <c r="AE32" s="796">
        <v>0</v>
      </c>
      <c r="AF32" s="796">
        <v>0</v>
      </c>
      <c r="AG32" s="796">
        <v>0</v>
      </c>
      <c r="AH32" s="785"/>
      <c r="AI32" s="791"/>
      <c r="AJ32" s="792">
        <f t="shared" si="10"/>
        <v>0</v>
      </c>
      <c r="AK32" s="797" t="s">
        <v>1561</v>
      </c>
      <c r="AL32" s="1164"/>
    </row>
    <row r="33" spans="1:38">
      <c r="A33" s="783">
        <v>2</v>
      </c>
      <c r="B33" s="783">
        <v>345</v>
      </c>
      <c r="C33" s="783" t="s">
        <v>1492</v>
      </c>
      <c r="D33" s="783" t="s">
        <v>1506</v>
      </c>
      <c r="E33" s="828" t="s">
        <v>1562</v>
      </c>
      <c r="F33" s="784" t="s">
        <v>1495</v>
      </c>
      <c r="G33" s="784" t="s">
        <v>1496</v>
      </c>
      <c r="H33" s="785" t="s">
        <v>1497</v>
      </c>
      <c r="I33" s="785" t="s">
        <v>1450</v>
      </c>
      <c r="J33" s="786">
        <v>1</v>
      </c>
      <c r="K33" s="787">
        <f t="shared" si="6"/>
        <v>495000.00000000006</v>
      </c>
      <c r="L33" s="788" t="e">
        <f>VLOOKUP(B33,#REF!,13,FALSE)</f>
        <v>#REF!</v>
      </c>
      <c r="M33" s="788">
        <v>0</v>
      </c>
      <c r="N33" s="789" t="e">
        <f>VLOOKUP(B33,#REF!,18,FALSE)</f>
        <v>#REF!</v>
      </c>
      <c r="O33" s="790">
        <v>450000</v>
      </c>
      <c r="P33" s="790">
        <v>420000</v>
      </c>
      <c r="Q33" s="791">
        <f>VLOOKUP(B33,'[10]zadanky all_011122'!$I$2:$J$79,2,FALSE)</f>
        <v>413276.17</v>
      </c>
      <c r="R33" s="792">
        <f t="shared" si="5"/>
        <v>36723.830000000016</v>
      </c>
      <c r="S33" s="792"/>
      <c r="T33" s="793">
        <v>0</v>
      </c>
      <c r="U33" s="798">
        <v>330000</v>
      </c>
      <c r="V33" s="794">
        <v>320000</v>
      </c>
      <c r="W33" s="792">
        <f>VLOOKUP(B33,'[10]zadanky all_011122'!$I$2:$J$72,2,FALSE)</f>
        <v>413276.17</v>
      </c>
      <c r="X33" s="795">
        <f t="shared" si="7"/>
        <v>-93276.169999999984</v>
      </c>
      <c r="Y33" s="794" t="e">
        <f t="shared" si="8"/>
        <v>#REF!</v>
      </c>
      <c r="Z33" s="794">
        <f t="shared" si="9"/>
        <v>-93276.169999999984</v>
      </c>
      <c r="AA33" s="796"/>
      <c r="AB33" s="796"/>
      <c r="AC33" s="796"/>
      <c r="AD33" s="796">
        <v>0</v>
      </c>
      <c r="AE33" s="792" t="s">
        <v>1498</v>
      </c>
      <c r="AF33" s="797" t="s">
        <v>1499</v>
      </c>
      <c r="AG33" s="796">
        <v>320000</v>
      </c>
      <c r="AH33" s="785"/>
      <c r="AI33" s="791">
        <v>284478.26</v>
      </c>
      <c r="AJ33" s="792">
        <f t="shared" si="10"/>
        <v>35521.739999999991</v>
      </c>
      <c r="AK33" s="797" t="s">
        <v>1563</v>
      </c>
      <c r="AL33" s="1164"/>
    </row>
    <row r="34" spans="1:38">
      <c r="A34" s="783">
        <v>40</v>
      </c>
      <c r="B34" s="783">
        <v>346</v>
      </c>
      <c r="C34" s="783" t="s">
        <v>1534</v>
      </c>
      <c r="D34" s="783" t="s">
        <v>1522</v>
      </c>
      <c r="E34" s="827" t="s">
        <v>1564</v>
      </c>
      <c r="F34" s="817" t="s">
        <v>1519</v>
      </c>
      <c r="G34" s="784" t="s">
        <v>1504</v>
      </c>
      <c r="H34" s="785"/>
      <c r="I34" s="785"/>
      <c r="J34" s="785"/>
      <c r="K34" s="787">
        <f t="shared" si="6"/>
        <v>0</v>
      </c>
      <c r="L34" s="788" t="e">
        <f>VLOOKUP(B34,#REF!,13,FALSE)</f>
        <v>#REF!</v>
      </c>
      <c r="M34" s="788">
        <v>0</v>
      </c>
      <c r="N34" s="789" t="e">
        <f>VLOOKUP(B34,#REF!,18,FALSE)</f>
        <v>#REF!</v>
      </c>
      <c r="O34" s="790">
        <v>0</v>
      </c>
      <c r="P34" s="790">
        <f>VLOOKUP(B34,'[11]2024'!$B$5:$AG$71,18,FALSE)</f>
        <v>0</v>
      </c>
      <c r="Q34" s="791">
        <f>VLOOKUP(B34,'[10]zadanky all_011122'!$I$2:$J$79,2,FALSE)</f>
        <v>0</v>
      </c>
      <c r="R34" s="792">
        <f t="shared" si="5"/>
        <v>0</v>
      </c>
      <c r="S34" s="792"/>
      <c r="T34" s="809">
        <v>1</v>
      </c>
      <c r="U34" s="792">
        <v>50000</v>
      </c>
      <c r="V34" s="794">
        <v>20000</v>
      </c>
      <c r="W34" s="792">
        <f>VLOOKUP(B34,'[10]zadanky all_011122'!$I$2:$J$72,2,FALSE)</f>
        <v>0</v>
      </c>
      <c r="X34" s="795">
        <f t="shared" si="7"/>
        <v>20000</v>
      </c>
      <c r="Y34" s="794" t="e">
        <f t="shared" si="8"/>
        <v>#REF!</v>
      </c>
      <c r="Z34" s="794">
        <f t="shared" si="9"/>
        <v>20000</v>
      </c>
      <c r="AA34" s="796"/>
      <c r="AB34" s="796"/>
      <c r="AC34" s="796"/>
      <c r="AD34" s="796">
        <v>0</v>
      </c>
      <c r="AE34" s="792" t="s">
        <v>1498</v>
      </c>
      <c r="AF34" s="797" t="s">
        <v>1565</v>
      </c>
      <c r="AG34" s="796">
        <v>70000</v>
      </c>
      <c r="AH34" s="785"/>
      <c r="AI34" s="791">
        <v>0</v>
      </c>
      <c r="AJ34" s="792">
        <f t="shared" si="10"/>
        <v>70000</v>
      </c>
      <c r="AK34" s="797" t="s">
        <v>1566</v>
      </c>
      <c r="AL34" s="1164"/>
    </row>
    <row r="35" spans="1:38">
      <c r="A35" s="831">
        <v>26</v>
      </c>
      <c r="B35" s="831">
        <v>347</v>
      </c>
      <c r="C35" s="831" t="s">
        <v>1534</v>
      </c>
      <c r="D35" s="831" t="s">
        <v>1567</v>
      </c>
      <c r="E35" s="832" t="s">
        <v>1568</v>
      </c>
      <c r="F35" s="833" t="s">
        <v>1450</v>
      </c>
      <c r="G35" s="834" t="s">
        <v>1504</v>
      </c>
      <c r="H35" s="835" t="s">
        <v>1497</v>
      </c>
      <c r="I35" s="835" t="s">
        <v>1450</v>
      </c>
      <c r="J35" s="836">
        <v>3</v>
      </c>
      <c r="K35" s="837">
        <f>1.1*O35</f>
        <v>44000</v>
      </c>
      <c r="L35" s="837" t="e">
        <f>VLOOKUP(B35,#REF!,13,FALSE)</f>
        <v>#REF!</v>
      </c>
      <c r="M35" s="837">
        <v>0</v>
      </c>
      <c r="N35" s="837" t="e">
        <f>VLOOKUP(B35,#REF!,18,FALSE)</f>
        <v>#REF!</v>
      </c>
      <c r="O35" s="838">
        <v>40000</v>
      </c>
      <c r="P35" s="838">
        <f>VLOOKUP(B35,'[11]2024'!$B$5:$AG$71,18,FALSE)</f>
        <v>0</v>
      </c>
      <c r="Q35" s="839">
        <f>VLOOKUP(B35,'[10]zadanky all_011122'!$I$2:$J$79,2,FALSE)</f>
        <v>0</v>
      </c>
      <c r="R35" s="835">
        <f t="shared" si="5"/>
        <v>40000</v>
      </c>
      <c r="S35" s="835"/>
      <c r="T35" s="840" t="s">
        <v>1554</v>
      </c>
      <c r="U35" s="835">
        <v>100000</v>
      </c>
      <c r="V35" s="835">
        <v>0</v>
      </c>
      <c r="W35" s="835">
        <f>VLOOKUP(B35,'[10]zadanky all_011122'!$I$2:$J$72,2,FALSE)</f>
        <v>0</v>
      </c>
      <c r="X35" s="835">
        <f t="shared" si="7"/>
        <v>0</v>
      </c>
      <c r="Y35" s="835" t="e">
        <f t="shared" si="8"/>
        <v>#REF!</v>
      </c>
      <c r="Z35" s="835">
        <f t="shared" si="9"/>
        <v>0</v>
      </c>
      <c r="AA35" s="841"/>
      <c r="AB35" s="841"/>
      <c r="AC35" s="841"/>
      <c r="AD35" s="841">
        <v>0</v>
      </c>
      <c r="AE35" s="835" t="s">
        <v>1498</v>
      </c>
      <c r="AF35" s="836" t="s">
        <v>1519</v>
      </c>
      <c r="AG35" s="841">
        <v>110000</v>
      </c>
      <c r="AH35" s="835">
        <v>150000</v>
      </c>
      <c r="AI35" s="839">
        <v>0</v>
      </c>
      <c r="AJ35" s="835">
        <f t="shared" si="10"/>
        <v>110000</v>
      </c>
      <c r="AK35" s="836" t="s">
        <v>1569</v>
      </c>
      <c r="AL35" s="1164"/>
    </row>
    <row r="36" spans="1:38">
      <c r="A36" s="811"/>
      <c r="B36" s="811">
        <v>348</v>
      </c>
      <c r="C36" s="811"/>
      <c r="D36" s="811"/>
      <c r="E36" s="842" t="s">
        <v>1570</v>
      </c>
      <c r="F36" s="843" t="s">
        <v>1510</v>
      </c>
      <c r="G36" s="813"/>
      <c r="H36" s="801"/>
      <c r="I36" s="801"/>
      <c r="J36" s="801"/>
      <c r="K36" s="802">
        <f>O36*1.1</f>
        <v>0</v>
      </c>
      <c r="L36" s="802" t="e">
        <f>VLOOKUP(B36,#REF!,13,FALSE)</f>
        <v>#REF!</v>
      </c>
      <c r="M36" s="802">
        <v>0</v>
      </c>
      <c r="N36" s="802" t="e">
        <f>VLOOKUP(B36,#REF!,18,FALSE)</f>
        <v>#REF!</v>
      </c>
      <c r="O36" s="803">
        <v>0</v>
      </c>
      <c r="P36" s="803">
        <f>VLOOKUP(B36,'[11]2024'!$B$5:$AG$71,18,FALSE)</f>
        <v>0</v>
      </c>
      <c r="Q36" s="804">
        <f>VLOOKUP(B36,'[10]zadanky all_011122'!$I$2:$J$79,2,FALSE)</f>
        <v>0</v>
      </c>
      <c r="R36" s="814">
        <f t="shared" si="5"/>
        <v>0</v>
      </c>
      <c r="S36" s="814"/>
      <c r="T36" s="844"/>
      <c r="U36" s="801"/>
      <c r="V36" s="801"/>
      <c r="W36" s="801"/>
      <c r="X36" s="801"/>
      <c r="Y36" s="801"/>
      <c r="Z36" s="801"/>
      <c r="AA36" s="815"/>
      <c r="AB36" s="815"/>
      <c r="AC36" s="815"/>
      <c r="AD36" s="806"/>
      <c r="AE36" s="801"/>
      <c r="AF36" s="807"/>
      <c r="AG36" s="806"/>
      <c r="AH36" s="814"/>
      <c r="AI36" s="804"/>
      <c r="AJ36" s="801"/>
      <c r="AK36" s="845"/>
      <c r="AL36" s="1164"/>
    </row>
    <row r="37" spans="1:38">
      <c r="A37" s="811"/>
      <c r="B37" s="811">
        <v>349</v>
      </c>
      <c r="C37" s="811"/>
      <c r="D37" s="811"/>
      <c r="E37" s="812" t="s">
        <v>1571</v>
      </c>
      <c r="F37" s="813" t="s">
        <v>1510</v>
      </c>
      <c r="G37" s="813"/>
      <c r="H37" s="801"/>
      <c r="I37" s="801"/>
      <c r="J37" s="801"/>
      <c r="K37" s="802">
        <f>O37*1.1</f>
        <v>0</v>
      </c>
      <c r="L37" s="802" t="e">
        <f>VLOOKUP(B37,#REF!,13,FALSE)</f>
        <v>#REF!</v>
      </c>
      <c r="M37" s="802">
        <v>0</v>
      </c>
      <c r="N37" s="802" t="e">
        <f>VLOOKUP(B37,#REF!,18,FALSE)</f>
        <v>#REF!</v>
      </c>
      <c r="O37" s="803">
        <v>0</v>
      </c>
      <c r="P37" s="803">
        <f>VLOOKUP(B37,'[11]2024'!$B$5:$AG$71,18,FALSE)</f>
        <v>0</v>
      </c>
      <c r="Q37" s="804">
        <f>VLOOKUP(B37,'[10]zadanky all_011122'!$I$2:$J$79,2,FALSE)</f>
        <v>0</v>
      </c>
      <c r="R37" s="814">
        <f t="shared" si="5"/>
        <v>0</v>
      </c>
      <c r="S37" s="814"/>
      <c r="T37" s="811">
        <v>1</v>
      </c>
      <c r="U37" s="801">
        <v>870000</v>
      </c>
      <c r="V37" s="801">
        <v>870000</v>
      </c>
      <c r="W37" s="801">
        <f>VLOOKUP(B37,'[10]zadanky all_011122'!$I$2:$J$72,2,FALSE)</f>
        <v>0</v>
      </c>
      <c r="X37" s="801">
        <f t="shared" ref="X37:X76" si="11">V37-W37</f>
        <v>870000</v>
      </c>
      <c r="Y37" s="801" t="e">
        <f t="shared" ref="Y37:Y76" si="12">SUM(L37-Q37)+SUM(V37-W37)</f>
        <v>#REF!</v>
      </c>
      <c r="Z37" s="801">
        <f t="shared" ref="Z37:Z76" si="13">X37</f>
        <v>870000</v>
      </c>
      <c r="AA37" s="815"/>
      <c r="AB37" s="815"/>
      <c r="AC37" s="815"/>
      <c r="AD37" s="806">
        <v>0</v>
      </c>
      <c r="AE37" s="806">
        <v>0</v>
      </c>
      <c r="AF37" s="806">
        <v>0</v>
      </c>
      <c r="AG37" s="806">
        <v>0</v>
      </c>
      <c r="AH37" s="814"/>
      <c r="AI37" s="804"/>
      <c r="AJ37" s="801">
        <f>AG37-AI37</f>
        <v>0</v>
      </c>
      <c r="AK37" s="845"/>
      <c r="AL37" s="1164"/>
    </row>
    <row r="38" spans="1:38">
      <c r="A38" s="783">
        <v>61</v>
      </c>
      <c r="B38" s="783">
        <v>350</v>
      </c>
      <c r="C38" s="783" t="s">
        <v>1492</v>
      </c>
      <c r="D38" s="783" t="s">
        <v>1522</v>
      </c>
      <c r="E38" s="808" t="s">
        <v>1572</v>
      </c>
      <c r="F38" s="784" t="s">
        <v>1450</v>
      </c>
      <c r="G38" s="784" t="s">
        <v>1504</v>
      </c>
      <c r="H38" s="785" t="s">
        <v>1497</v>
      </c>
      <c r="I38" s="785" t="s">
        <v>1450</v>
      </c>
      <c r="J38" s="786">
        <v>3</v>
      </c>
      <c r="K38" s="787">
        <f>1.1*O38</f>
        <v>330000</v>
      </c>
      <c r="L38" s="788" t="e">
        <f>VLOOKUP(B38,#REF!,13,FALSE)</f>
        <v>#REF!</v>
      </c>
      <c r="M38" s="788">
        <v>0</v>
      </c>
      <c r="N38" s="789" t="e">
        <f>VLOOKUP(B38,#REF!,18,FALSE)</f>
        <v>#REF!</v>
      </c>
      <c r="O38" s="790">
        <v>300000</v>
      </c>
      <c r="P38" s="790">
        <v>50000</v>
      </c>
      <c r="Q38" s="791">
        <f>VLOOKUP(B38,'[10]zadanky all_011122'!$I$2:$J$79,2,FALSE)</f>
        <v>3300</v>
      </c>
      <c r="R38" s="792">
        <f t="shared" si="5"/>
        <v>296700</v>
      </c>
      <c r="S38" s="792"/>
      <c r="T38" s="822"/>
      <c r="U38" s="792"/>
      <c r="V38" s="794">
        <v>0</v>
      </c>
      <c r="W38" s="792">
        <f>VLOOKUP(B38,'[10]zadanky all_011122'!$I$2:$J$72,2,FALSE)</f>
        <v>3300</v>
      </c>
      <c r="X38" s="795">
        <f t="shared" si="11"/>
        <v>-3300</v>
      </c>
      <c r="Y38" s="794" t="e">
        <f t="shared" si="12"/>
        <v>#REF!</v>
      </c>
      <c r="Z38" s="794">
        <f t="shared" si="13"/>
        <v>-3300</v>
      </c>
      <c r="AA38" s="796"/>
      <c r="AB38" s="796"/>
      <c r="AC38" s="796"/>
      <c r="AD38" s="796"/>
      <c r="AE38" s="796"/>
      <c r="AF38" s="796"/>
      <c r="AG38" s="796"/>
      <c r="AH38" s="785"/>
      <c r="AI38" s="791"/>
      <c r="AJ38" s="792"/>
      <c r="AK38" s="797" t="s">
        <v>1573</v>
      </c>
      <c r="AL38" s="1164"/>
    </row>
    <row r="39" spans="1:38">
      <c r="A39" s="811">
        <v>62</v>
      </c>
      <c r="B39" s="811">
        <v>360</v>
      </c>
      <c r="C39" s="811"/>
      <c r="D39" s="811"/>
      <c r="E39" s="812" t="s">
        <v>1574</v>
      </c>
      <c r="F39" s="813" t="s">
        <v>1510</v>
      </c>
      <c r="G39" s="813"/>
      <c r="H39" s="801"/>
      <c r="I39" s="801"/>
      <c r="J39" s="801"/>
      <c r="K39" s="802">
        <f>O39*1.1</f>
        <v>0</v>
      </c>
      <c r="L39" s="788" t="e">
        <f>VLOOKUP(B39,#REF!,13,FALSE)</f>
        <v>#REF!</v>
      </c>
      <c r="M39" s="802">
        <v>0</v>
      </c>
      <c r="N39" s="789" t="e">
        <f>VLOOKUP(B39,#REF!,18,FALSE)</f>
        <v>#REF!</v>
      </c>
      <c r="O39" s="803">
        <v>0</v>
      </c>
      <c r="P39" s="803">
        <f>VLOOKUP(B39,'[11]2024'!$B$5:$AG$71,18,FALSE)</f>
        <v>0</v>
      </c>
      <c r="Q39" s="804">
        <f>VLOOKUP(B39,'[10]zadanky all_011122'!$I$2:$J$79,2,FALSE)</f>
        <v>0</v>
      </c>
      <c r="R39" s="814">
        <f t="shared" si="5"/>
        <v>0</v>
      </c>
      <c r="S39" s="814"/>
      <c r="T39" s="811"/>
      <c r="U39" s="792"/>
      <c r="V39" s="794">
        <v>0</v>
      </c>
      <c r="W39" s="792">
        <f>VLOOKUP(B39,'[10]zadanky all_011122'!$I$2:$J$72,2,FALSE)</f>
        <v>0</v>
      </c>
      <c r="X39" s="795">
        <f t="shared" si="11"/>
        <v>0</v>
      </c>
      <c r="Y39" s="794" t="e">
        <f t="shared" si="12"/>
        <v>#REF!</v>
      </c>
      <c r="Z39" s="794">
        <f t="shared" si="13"/>
        <v>0</v>
      </c>
      <c r="AA39" s="815"/>
      <c r="AB39" s="815"/>
      <c r="AC39" s="815"/>
      <c r="AD39" s="796"/>
      <c r="AE39" s="796"/>
      <c r="AF39" s="796"/>
      <c r="AG39" s="796"/>
      <c r="AH39" s="814"/>
      <c r="AI39" s="791"/>
      <c r="AJ39" s="792"/>
      <c r="AK39" s="845"/>
      <c r="AL39" s="1164"/>
    </row>
    <row r="40" spans="1:38">
      <c r="A40" s="811">
        <v>63</v>
      </c>
      <c r="B40" s="811">
        <v>370</v>
      </c>
      <c r="C40" s="811"/>
      <c r="D40" s="811"/>
      <c r="E40" s="812" t="s">
        <v>1575</v>
      </c>
      <c r="F40" s="813" t="s">
        <v>1510</v>
      </c>
      <c r="G40" s="813"/>
      <c r="H40" s="801"/>
      <c r="I40" s="801"/>
      <c r="J40" s="801"/>
      <c r="K40" s="802">
        <f>O40*1.1</f>
        <v>0</v>
      </c>
      <c r="L40" s="788" t="e">
        <f>VLOOKUP(B40,#REF!,13,FALSE)</f>
        <v>#REF!</v>
      </c>
      <c r="M40" s="802">
        <v>0</v>
      </c>
      <c r="N40" s="789" t="e">
        <f>VLOOKUP(B40,#REF!,18,FALSE)</f>
        <v>#REF!</v>
      </c>
      <c r="O40" s="803">
        <v>0</v>
      </c>
      <c r="P40" s="803">
        <f>VLOOKUP(B40,'[11]2024'!$B$5:$AG$71,18,FALSE)</f>
        <v>0</v>
      </c>
      <c r="Q40" s="804">
        <f>VLOOKUP(B40,'[10]zadanky all_011122'!$I$2:$J$79,2,FALSE)</f>
        <v>2759</v>
      </c>
      <c r="R40" s="814">
        <f t="shared" si="5"/>
        <v>-2759</v>
      </c>
      <c r="S40" s="814"/>
      <c r="T40" s="811"/>
      <c r="U40" s="792"/>
      <c r="V40" s="794">
        <v>0</v>
      </c>
      <c r="W40" s="792">
        <f>VLOOKUP(B40,'[10]zadanky all_011122'!$I$2:$J$72,2,FALSE)</f>
        <v>2759</v>
      </c>
      <c r="X40" s="795">
        <f t="shared" si="11"/>
        <v>-2759</v>
      </c>
      <c r="Y40" s="794" t="e">
        <f t="shared" si="12"/>
        <v>#REF!</v>
      </c>
      <c r="Z40" s="794">
        <f t="shared" si="13"/>
        <v>-2759</v>
      </c>
      <c r="AA40" s="815"/>
      <c r="AB40" s="815"/>
      <c r="AC40" s="815"/>
      <c r="AD40" s="796"/>
      <c r="AE40" s="796"/>
      <c r="AF40" s="796"/>
      <c r="AG40" s="796"/>
      <c r="AH40" s="814"/>
      <c r="AI40" s="791"/>
      <c r="AJ40" s="792"/>
      <c r="AK40" s="845"/>
      <c r="AL40" s="1164"/>
    </row>
    <row r="41" spans="1:38">
      <c r="A41" s="783">
        <v>9</v>
      </c>
      <c r="B41" s="783">
        <v>390</v>
      </c>
      <c r="C41" s="783" t="s">
        <v>1576</v>
      </c>
      <c r="D41" s="783" t="s">
        <v>145</v>
      </c>
      <c r="E41" s="823" t="s">
        <v>1577</v>
      </c>
      <c r="F41" s="824" t="s">
        <v>1495</v>
      </c>
      <c r="G41" s="825" t="s">
        <v>1504</v>
      </c>
      <c r="H41" s="785" t="s">
        <v>1497</v>
      </c>
      <c r="I41" s="785" t="s">
        <v>1450</v>
      </c>
      <c r="J41" s="786">
        <v>1</v>
      </c>
      <c r="K41" s="787">
        <f>O41*1.1</f>
        <v>33000</v>
      </c>
      <c r="L41" s="787" t="e">
        <f>VLOOKUP(B41,#REF!,13,FALSE)</f>
        <v>#REF!</v>
      </c>
      <c r="M41" s="788">
        <v>0</v>
      </c>
      <c r="N41" s="787" t="e">
        <f>VLOOKUP(B41,#REF!,18,FALSE)</f>
        <v>#REF!</v>
      </c>
      <c r="O41" s="790">
        <v>30000</v>
      </c>
      <c r="P41" s="790">
        <v>0</v>
      </c>
      <c r="Q41" s="791">
        <f>VLOOKUP(B41,'[10]zadanky all_011122'!$I$2:$J$79,2,FALSE)</f>
        <v>0</v>
      </c>
      <c r="R41" s="792">
        <f t="shared" si="5"/>
        <v>30000</v>
      </c>
      <c r="S41" s="792"/>
      <c r="T41" s="809" t="s">
        <v>1554</v>
      </c>
      <c r="U41" s="792">
        <v>20000</v>
      </c>
      <c r="V41" s="792">
        <v>0</v>
      </c>
      <c r="W41" s="792">
        <f>VLOOKUP(B41,'[10]zadanky all_011122'!$I$2:$J$72,2,FALSE)</f>
        <v>0</v>
      </c>
      <c r="X41" s="792">
        <f t="shared" si="11"/>
        <v>0</v>
      </c>
      <c r="Y41" s="792" t="e">
        <f t="shared" si="12"/>
        <v>#REF!</v>
      </c>
      <c r="Z41" s="792">
        <f t="shared" si="13"/>
        <v>0</v>
      </c>
      <c r="AA41" s="796"/>
      <c r="AB41" s="796"/>
      <c r="AC41" s="796"/>
      <c r="AD41" s="796">
        <v>0</v>
      </c>
      <c r="AE41" s="792" t="s">
        <v>1498</v>
      </c>
      <c r="AF41" s="797" t="s">
        <v>1499</v>
      </c>
      <c r="AG41" s="796">
        <v>40000</v>
      </c>
      <c r="AH41" s="792">
        <v>40000</v>
      </c>
      <c r="AI41" s="791">
        <v>8485.3700000000008</v>
      </c>
      <c r="AJ41" s="792">
        <f>AG41-AI41</f>
        <v>31514.629999999997</v>
      </c>
      <c r="AK41" s="797" t="s">
        <v>1578</v>
      </c>
      <c r="AL41" s="1164"/>
    </row>
    <row r="42" spans="1:38">
      <c r="A42" s="783">
        <v>13</v>
      </c>
      <c r="B42" s="783">
        <v>410</v>
      </c>
      <c r="C42" s="783" t="s">
        <v>1579</v>
      </c>
      <c r="D42" s="783" t="s">
        <v>1580</v>
      </c>
      <c r="E42" s="823" t="s">
        <v>1581</v>
      </c>
      <c r="F42" s="824" t="s">
        <v>1495</v>
      </c>
      <c r="G42" s="825" t="s">
        <v>1496</v>
      </c>
      <c r="H42" s="785" t="s">
        <v>1497</v>
      </c>
      <c r="I42" s="785" t="s">
        <v>1450</v>
      </c>
      <c r="J42" s="786">
        <v>1</v>
      </c>
      <c r="K42" s="787">
        <f>O42*1.1</f>
        <v>55000.000000000007</v>
      </c>
      <c r="L42" s="787" t="e">
        <f>VLOOKUP(B42,#REF!,13,FALSE)</f>
        <v>#REF!</v>
      </c>
      <c r="M42" s="788">
        <v>0</v>
      </c>
      <c r="N42" s="787" t="e">
        <f>VLOOKUP(B42,#REF!,18,FALSE)</f>
        <v>#REF!</v>
      </c>
      <c r="O42" s="790">
        <v>50000</v>
      </c>
      <c r="P42" s="790">
        <f>VLOOKUP(B42,'[11]2024'!$B$5:$AG$71,18,FALSE)</f>
        <v>30415.200000000001</v>
      </c>
      <c r="Q42" s="791">
        <f>VLOOKUP(B42,'[10]zadanky all_011122'!$I$2:$J$79,2,FALSE)</f>
        <v>142313.69</v>
      </c>
      <c r="R42" s="792">
        <f t="shared" si="5"/>
        <v>-92313.69</v>
      </c>
      <c r="S42" s="792"/>
      <c r="T42" s="809">
        <v>1</v>
      </c>
      <c r="U42" s="792">
        <v>30000</v>
      </c>
      <c r="V42" s="792">
        <v>20000</v>
      </c>
      <c r="W42" s="792">
        <f>VLOOKUP(B42,'[10]zadanky all_011122'!$I$2:$J$72,2,FALSE)</f>
        <v>142313.69</v>
      </c>
      <c r="X42" s="792">
        <f t="shared" si="11"/>
        <v>-122313.69</v>
      </c>
      <c r="Y42" s="792" t="e">
        <f t="shared" si="12"/>
        <v>#REF!</v>
      </c>
      <c r="Z42" s="792">
        <f t="shared" si="13"/>
        <v>-122313.69</v>
      </c>
      <c r="AA42" s="796"/>
      <c r="AB42" s="796"/>
      <c r="AC42" s="796"/>
      <c r="AD42" s="796">
        <v>0</v>
      </c>
      <c r="AE42" s="792" t="s">
        <v>1498</v>
      </c>
      <c r="AF42" s="797" t="s">
        <v>1499</v>
      </c>
      <c r="AG42" s="796">
        <v>20000</v>
      </c>
      <c r="AH42" s="792"/>
      <c r="AI42" s="791">
        <v>44703</v>
      </c>
      <c r="AJ42" s="792">
        <f>AG42-AI42</f>
        <v>-24703</v>
      </c>
      <c r="AK42" s="797" t="s">
        <v>1582</v>
      </c>
      <c r="AL42" s="1164"/>
    </row>
    <row r="43" spans="1:38">
      <c r="A43" s="811">
        <v>52</v>
      </c>
      <c r="B43" s="811">
        <v>411</v>
      </c>
      <c r="C43" s="811"/>
      <c r="D43" s="811"/>
      <c r="E43" s="812" t="s">
        <v>1583</v>
      </c>
      <c r="F43" s="813" t="s">
        <v>1510</v>
      </c>
      <c r="G43" s="813"/>
      <c r="H43" s="801"/>
      <c r="I43" s="801"/>
      <c r="J43" s="801"/>
      <c r="K43" s="802">
        <f>O43*1.1</f>
        <v>55000.000000000007</v>
      </c>
      <c r="L43" s="788" t="e">
        <f>VLOOKUP(B43,#REF!,13,FALSE)</f>
        <v>#REF!</v>
      </c>
      <c r="M43" s="802">
        <v>0</v>
      </c>
      <c r="N43" s="789" t="e">
        <f>VLOOKUP(B43,#REF!,18,FALSE)</f>
        <v>#REF!</v>
      </c>
      <c r="O43" s="803">
        <v>50000</v>
      </c>
      <c r="P43" s="803">
        <f>VLOOKUP(B43,'[11]2024'!$B$5:$AG$71,18,FALSE)</f>
        <v>43961.96</v>
      </c>
      <c r="Q43" s="804">
        <f>VLOOKUP(B43,'[10]zadanky all_011122'!$I$2:$J$79,2,FALSE)</f>
        <v>105568.90000000001</v>
      </c>
      <c r="R43" s="814">
        <f t="shared" si="5"/>
        <v>-55568.900000000009</v>
      </c>
      <c r="S43" s="814"/>
      <c r="T43" s="811"/>
      <c r="U43" s="792"/>
      <c r="V43" s="794"/>
      <c r="W43" s="792">
        <f>VLOOKUP(B43,'[10]zadanky all_011122'!$I$2:$J$72,2,FALSE)</f>
        <v>105568.90000000001</v>
      </c>
      <c r="X43" s="795">
        <f t="shared" si="11"/>
        <v>-105568.90000000001</v>
      </c>
      <c r="Y43" s="794" t="e">
        <f t="shared" si="12"/>
        <v>#REF!</v>
      </c>
      <c r="Z43" s="794">
        <f t="shared" si="13"/>
        <v>-105568.90000000001</v>
      </c>
      <c r="AA43" s="815"/>
      <c r="AB43" s="815"/>
      <c r="AC43" s="815"/>
      <c r="AD43" s="796"/>
      <c r="AE43" s="796"/>
      <c r="AF43" s="796"/>
      <c r="AG43" s="796"/>
      <c r="AH43" s="814"/>
      <c r="AI43" s="791"/>
      <c r="AJ43" s="792"/>
      <c r="AK43" s="845"/>
      <c r="AL43" s="1164"/>
    </row>
    <row r="44" spans="1:38" s="846" customFormat="1" ht="28.8">
      <c r="A44" s="783">
        <v>37</v>
      </c>
      <c r="B44" s="783">
        <v>420</v>
      </c>
      <c r="C44" s="783" t="s">
        <v>1492</v>
      </c>
      <c r="D44" s="783" t="s">
        <v>1567</v>
      </c>
      <c r="E44" s="808" t="s">
        <v>1584</v>
      </c>
      <c r="F44" s="784" t="s">
        <v>1519</v>
      </c>
      <c r="G44" s="784" t="s">
        <v>1504</v>
      </c>
      <c r="H44" s="785"/>
      <c r="I44" s="785"/>
      <c r="J44" s="785"/>
      <c r="K44" s="787">
        <v>0</v>
      </c>
      <c r="L44" s="788" t="e">
        <f>VLOOKUP(B44,#REF!,13,FALSE)</f>
        <v>#REF!</v>
      </c>
      <c r="M44" s="788">
        <v>0</v>
      </c>
      <c r="N44" s="789" t="e">
        <f>VLOOKUP(B44,#REF!,18,FALSE)</f>
        <v>#REF!</v>
      </c>
      <c r="O44" s="790">
        <v>0</v>
      </c>
      <c r="P44" s="790">
        <v>5000</v>
      </c>
      <c r="Q44" s="791">
        <f>VLOOKUP(B44,'[10]zadanky all_011122'!$I$2:$J$79,2,FALSE)</f>
        <v>5288</v>
      </c>
      <c r="R44" s="792">
        <f t="shared" si="5"/>
        <v>-5288</v>
      </c>
      <c r="S44" s="792"/>
      <c r="T44" s="809">
        <v>1</v>
      </c>
      <c r="U44" s="792">
        <v>0</v>
      </c>
      <c r="V44" s="794">
        <v>0</v>
      </c>
      <c r="W44" s="792">
        <f>VLOOKUP(B44,'[10]zadanky all_011122'!$I$2:$J$72,2,FALSE)</f>
        <v>5288</v>
      </c>
      <c r="X44" s="795">
        <f t="shared" si="11"/>
        <v>-5288</v>
      </c>
      <c r="Y44" s="794" t="e">
        <f t="shared" si="12"/>
        <v>#REF!</v>
      </c>
      <c r="Z44" s="794">
        <f t="shared" si="13"/>
        <v>-5288</v>
      </c>
      <c r="AA44" s="796"/>
      <c r="AB44" s="796"/>
      <c r="AC44" s="796"/>
      <c r="AD44" s="796">
        <v>0</v>
      </c>
      <c r="AE44" s="792" t="s">
        <v>1498</v>
      </c>
      <c r="AF44" s="797" t="s">
        <v>1499</v>
      </c>
      <c r="AG44" s="796">
        <v>36000</v>
      </c>
      <c r="AH44" s="785"/>
      <c r="AI44" s="791">
        <v>222397</v>
      </c>
      <c r="AJ44" s="792">
        <f>AG44-AI44</f>
        <v>-186397</v>
      </c>
      <c r="AK44" s="797"/>
      <c r="AL44" s="1165"/>
    </row>
    <row r="45" spans="1:38" s="846" customFormat="1">
      <c r="A45" s="811">
        <v>54</v>
      </c>
      <c r="B45" s="811">
        <v>421</v>
      </c>
      <c r="C45" s="811"/>
      <c r="D45" s="811"/>
      <c r="E45" s="812" t="s">
        <v>1585</v>
      </c>
      <c r="F45" s="813" t="s">
        <v>1510</v>
      </c>
      <c r="G45" s="813"/>
      <c r="H45" s="801"/>
      <c r="I45" s="801"/>
      <c r="J45" s="801"/>
      <c r="K45" s="802">
        <f>O45*1.1</f>
        <v>0</v>
      </c>
      <c r="L45" s="788" t="e">
        <f>VLOOKUP(B45,#REF!,13,FALSE)</f>
        <v>#REF!</v>
      </c>
      <c r="M45" s="802">
        <v>0</v>
      </c>
      <c r="N45" s="789" t="e">
        <f>VLOOKUP(B45,#REF!,18,FALSE)</f>
        <v>#REF!</v>
      </c>
      <c r="O45" s="803">
        <v>0</v>
      </c>
      <c r="P45" s="803">
        <f>VLOOKUP(B45,'[11]2024'!$B$5:$AG$71,18,FALSE)</f>
        <v>0</v>
      </c>
      <c r="Q45" s="804">
        <f>VLOOKUP(B45,'[10]zadanky all_011122'!$I$2:$J$79,2,FALSE)</f>
        <v>0</v>
      </c>
      <c r="R45" s="814">
        <f t="shared" si="5"/>
        <v>0</v>
      </c>
      <c r="S45" s="814"/>
      <c r="T45" s="811">
        <v>1</v>
      </c>
      <c r="U45" s="792">
        <v>360000</v>
      </c>
      <c r="V45" s="794">
        <v>360000</v>
      </c>
      <c r="W45" s="792">
        <f>VLOOKUP(B45,'[10]zadanky all_011122'!$I$2:$J$72,2,FALSE)</f>
        <v>0</v>
      </c>
      <c r="X45" s="795">
        <f t="shared" si="11"/>
        <v>360000</v>
      </c>
      <c r="Y45" s="794" t="e">
        <f t="shared" si="12"/>
        <v>#REF!</v>
      </c>
      <c r="Z45" s="794">
        <f t="shared" si="13"/>
        <v>360000</v>
      </c>
      <c r="AA45" s="815"/>
      <c r="AB45" s="815"/>
      <c r="AC45" s="815"/>
      <c r="AD45" s="796">
        <v>0</v>
      </c>
      <c r="AE45" s="796">
        <v>0</v>
      </c>
      <c r="AF45" s="796">
        <v>0</v>
      </c>
      <c r="AG45" s="796">
        <v>0</v>
      </c>
      <c r="AH45" s="814"/>
      <c r="AI45" s="791"/>
      <c r="AJ45" s="792">
        <f>AG45-AI45</f>
        <v>0</v>
      </c>
      <c r="AK45" s="845"/>
      <c r="AL45" s="1165"/>
    </row>
    <row r="46" spans="1:38">
      <c r="A46" s="783">
        <v>46</v>
      </c>
      <c r="B46" s="783">
        <v>430</v>
      </c>
      <c r="C46" s="783" t="s">
        <v>1579</v>
      </c>
      <c r="D46" s="783" t="s">
        <v>1580</v>
      </c>
      <c r="E46" s="808" t="s">
        <v>1586</v>
      </c>
      <c r="F46" s="847" t="s">
        <v>1450</v>
      </c>
      <c r="G46" s="784" t="s">
        <v>1496</v>
      </c>
      <c r="H46" s="785" t="s">
        <v>1497</v>
      </c>
      <c r="I46" s="785" t="s">
        <v>1450</v>
      </c>
      <c r="J46" s="786">
        <v>1</v>
      </c>
      <c r="K46" s="787">
        <f>O46*1.1</f>
        <v>55000.000000000007</v>
      </c>
      <c r="L46" s="788" t="e">
        <f>VLOOKUP(B46,#REF!,13,FALSE)</f>
        <v>#REF!</v>
      </c>
      <c r="M46" s="788">
        <v>0</v>
      </c>
      <c r="N46" s="789" t="e">
        <f>VLOOKUP(B46,#REF!,18,FALSE)</f>
        <v>#REF!</v>
      </c>
      <c r="O46" s="790">
        <v>50000</v>
      </c>
      <c r="P46" s="790">
        <f>VLOOKUP(B46,'[11]2024'!$B$5:$AG$71,18,FALSE)</f>
        <v>42001.82</v>
      </c>
      <c r="Q46" s="791">
        <f>VLOOKUP(B46,'[10]zadanky all_011122'!$I$2:$J$79,2,FALSE)</f>
        <v>38009.07</v>
      </c>
      <c r="R46" s="792">
        <f t="shared" si="5"/>
        <v>11990.93</v>
      </c>
      <c r="S46" s="792"/>
      <c r="T46" s="822">
        <v>1</v>
      </c>
      <c r="U46" s="792">
        <v>0</v>
      </c>
      <c r="V46" s="794">
        <v>100000</v>
      </c>
      <c r="W46" s="792">
        <f>VLOOKUP(B46,'[10]zadanky all_011122'!$I$2:$J$72,2,FALSE)</f>
        <v>38009.07</v>
      </c>
      <c r="X46" s="795">
        <f t="shared" si="11"/>
        <v>61990.93</v>
      </c>
      <c r="Y46" s="794" t="e">
        <f t="shared" si="12"/>
        <v>#REF!</v>
      </c>
      <c r="Z46" s="794">
        <f t="shared" si="13"/>
        <v>61990.93</v>
      </c>
      <c r="AA46" s="796"/>
      <c r="AB46" s="796"/>
      <c r="AC46" s="796"/>
      <c r="AD46" s="796"/>
      <c r="AE46" s="792"/>
      <c r="AF46" s="797"/>
      <c r="AG46" s="796">
        <v>0</v>
      </c>
      <c r="AH46" s="785"/>
      <c r="AI46" s="791">
        <v>41671</v>
      </c>
      <c r="AJ46" s="792">
        <f>AG46-AI46</f>
        <v>-41671</v>
      </c>
      <c r="AK46" s="797" t="s">
        <v>1587</v>
      </c>
      <c r="AL46" s="1164"/>
    </row>
    <row r="47" spans="1:38">
      <c r="A47" s="783">
        <v>53</v>
      </c>
      <c r="B47" s="783">
        <v>431</v>
      </c>
      <c r="C47" s="783" t="s">
        <v>1579</v>
      </c>
      <c r="D47" s="783" t="s">
        <v>1588</v>
      </c>
      <c r="E47" s="808" t="s">
        <v>1589</v>
      </c>
      <c r="F47" s="784" t="s">
        <v>1590</v>
      </c>
      <c r="G47" s="784" t="s">
        <v>1496</v>
      </c>
      <c r="H47" s="785" t="s">
        <v>1497</v>
      </c>
      <c r="I47" s="785" t="s">
        <v>1540</v>
      </c>
      <c r="J47" s="786">
        <v>2</v>
      </c>
      <c r="K47" s="787">
        <f>O47*1.1</f>
        <v>55000.000000000007</v>
      </c>
      <c r="L47" s="788" t="e">
        <f>VLOOKUP(B47,#REF!,13,FALSE)</f>
        <v>#REF!</v>
      </c>
      <c r="M47" s="788">
        <v>0</v>
      </c>
      <c r="N47" s="789" t="e">
        <f>VLOOKUP(B47,#REF!,18,FALSE)</f>
        <v>#REF!</v>
      </c>
      <c r="O47" s="790">
        <v>50000</v>
      </c>
      <c r="P47" s="790">
        <v>250000</v>
      </c>
      <c r="Q47" s="791">
        <f>VLOOKUP(B47,'[10]zadanky all_011122'!$I$2:$J$79,2,FALSE)</f>
        <v>256211.1</v>
      </c>
      <c r="R47" s="792">
        <f t="shared" si="5"/>
        <v>-206211.1</v>
      </c>
      <c r="S47" s="792"/>
      <c r="T47" s="822" t="s">
        <v>1554</v>
      </c>
      <c r="U47" s="792">
        <v>100000</v>
      </c>
      <c r="V47" s="794">
        <v>0</v>
      </c>
      <c r="W47" s="792">
        <f>VLOOKUP(B47,'[10]zadanky all_011122'!$I$2:$J$72,2,FALSE)</f>
        <v>256211.1</v>
      </c>
      <c r="X47" s="795">
        <f t="shared" si="11"/>
        <v>-256211.1</v>
      </c>
      <c r="Y47" s="794" t="e">
        <f t="shared" si="12"/>
        <v>#REF!</v>
      </c>
      <c r="Z47" s="794">
        <f t="shared" si="13"/>
        <v>-256211.1</v>
      </c>
      <c r="AA47" s="796"/>
      <c r="AB47" s="796"/>
      <c r="AC47" s="796"/>
      <c r="AD47" s="796">
        <v>0</v>
      </c>
      <c r="AE47" s="796">
        <v>0</v>
      </c>
      <c r="AF47" s="796">
        <v>0</v>
      </c>
      <c r="AG47" s="796">
        <v>0</v>
      </c>
      <c r="AH47" s="785">
        <v>100000</v>
      </c>
      <c r="AI47" s="791"/>
      <c r="AJ47" s="792">
        <f>AG47-AI47</f>
        <v>0</v>
      </c>
      <c r="AK47" s="797" t="s">
        <v>1591</v>
      </c>
      <c r="AL47" s="1164"/>
    </row>
    <row r="48" spans="1:38">
      <c r="A48" s="783">
        <v>38</v>
      </c>
      <c r="B48" s="783">
        <v>440</v>
      </c>
      <c r="C48" s="783" t="s">
        <v>1579</v>
      </c>
      <c r="D48" s="783" t="s">
        <v>1592</v>
      </c>
      <c r="E48" s="784" t="s">
        <v>1593</v>
      </c>
      <c r="F48" s="784" t="s">
        <v>1450</v>
      </c>
      <c r="G48" s="784" t="s">
        <v>1504</v>
      </c>
      <c r="H48" s="785" t="s">
        <v>1497</v>
      </c>
      <c r="I48" s="785" t="s">
        <v>1450</v>
      </c>
      <c r="J48" s="786">
        <v>1</v>
      </c>
      <c r="K48" s="787">
        <f>O48*1.1</f>
        <v>275000</v>
      </c>
      <c r="L48" s="788" t="e">
        <f>VLOOKUP(B48,#REF!,13,FALSE)</f>
        <v>#REF!</v>
      </c>
      <c r="M48" s="788">
        <v>0</v>
      </c>
      <c r="N48" s="789" t="e">
        <f>VLOOKUP(B48,#REF!,18,FALSE)</f>
        <v>#REF!</v>
      </c>
      <c r="O48" s="790">
        <v>250000</v>
      </c>
      <c r="P48" s="790">
        <v>217000</v>
      </c>
      <c r="Q48" s="791">
        <f>VLOOKUP(B48,'[10]zadanky all_011122'!$I$2:$J$79,2,FALSE)</f>
        <v>217720.2</v>
      </c>
      <c r="R48" s="792">
        <f t="shared" si="5"/>
        <v>32279.799999999988</v>
      </c>
      <c r="S48" s="792"/>
      <c r="T48" s="793">
        <v>0</v>
      </c>
      <c r="U48" s="792">
        <v>250000</v>
      </c>
      <c r="V48" s="794">
        <v>250000</v>
      </c>
      <c r="W48" s="792">
        <f>VLOOKUP(B48,'[10]zadanky all_011122'!$I$2:$J$72,2,FALSE)</f>
        <v>217720.2</v>
      </c>
      <c r="X48" s="795">
        <f t="shared" si="11"/>
        <v>32279.799999999988</v>
      </c>
      <c r="Y48" s="794" t="e">
        <f t="shared" si="12"/>
        <v>#REF!</v>
      </c>
      <c r="Z48" s="794">
        <f t="shared" si="13"/>
        <v>32279.799999999988</v>
      </c>
      <c r="AA48" s="796"/>
      <c r="AB48" s="796"/>
      <c r="AC48" s="796"/>
      <c r="AD48" s="796"/>
      <c r="AE48" s="792"/>
      <c r="AF48" s="797"/>
      <c r="AG48" s="796"/>
      <c r="AH48" s="785"/>
      <c r="AI48" s="791"/>
      <c r="AJ48" s="792"/>
      <c r="AK48" s="797" t="s">
        <v>1594</v>
      </c>
      <c r="AL48" s="1164"/>
    </row>
    <row r="49" spans="1:38">
      <c r="A49" s="783">
        <v>64</v>
      </c>
      <c r="B49" s="783">
        <v>441</v>
      </c>
      <c r="C49" s="783" t="s">
        <v>1579</v>
      </c>
      <c r="D49" s="783" t="s">
        <v>1592</v>
      </c>
      <c r="E49" s="808" t="s">
        <v>1595</v>
      </c>
      <c r="F49" s="784" t="s">
        <v>1450</v>
      </c>
      <c r="G49" s="784" t="s">
        <v>1504</v>
      </c>
      <c r="H49" s="785" t="s">
        <v>1497</v>
      </c>
      <c r="I49" s="785" t="s">
        <v>1450</v>
      </c>
      <c r="J49" s="786">
        <v>1</v>
      </c>
      <c r="K49" s="787">
        <f>1.1*O49</f>
        <v>220000.00000000003</v>
      </c>
      <c r="L49" s="788" t="e">
        <f>VLOOKUP(B49,#REF!,13,FALSE)</f>
        <v>#REF!</v>
      </c>
      <c r="M49" s="788">
        <v>0</v>
      </c>
      <c r="N49" s="789" t="e">
        <f>VLOOKUP(B49,#REF!,18,FALSE)</f>
        <v>#REF!</v>
      </c>
      <c r="O49" s="790">
        <v>200000</v>
      </c>
      <c r="P49" s="790">
        <v>462506.33</v>
      </c>
      <c r="Q49" s="791">
        <f>VLOOKUP(B49,'[10]zadanky all_011122'!$I$2:$J$79,2,FALSE)</f>
        <v>462506.33</v>
      </c>
      <c r="R49" s="792">
        <f t="shared" si="5"/>
        <v>-262506.33</v>
      </c>
      <c r="S49" s="792"/>
      <c r="T49" s="822"/>
      <c r="U49" s="792"/>
      <c r="V49" s="794">
        <v>0</v>
      </c>
      <c r="W49" s="792">
        <f>VLOOKUP(B49,'[10]zadanky all_011122'!$I$2:$J$72,2,FALSE)</f>
        <v>462506.33</v>
      </c>
      <c r="X49" s="795">
        <f t="shared" si="11"/>
        <v>-462506.33</v>
      </c>
      <c r="Y49" s="794" t="e">
        <f t="shared" si="12"/>
        <v>#REF!</v>
      </c>
      <c r="Z49" s="794">
        <f t="shared" si="13"/>
        <v>-462506.33</v>
      </c>
      <c r="AA49" s="796"/>
      <c r="AB49" s="796"/>
      <c r="AC49" s="796"/>
      <c r="AD49" s="796"/>
      <c r="AE49" s="796"/>
      <c r="AF49" s="796"/>
      <c r="AG49" s="796"/>
      <c r="AH49" s="785"/>
      <c r="AI49" s="791"/>
      <c r="AJ49" s="792"/>
      <c r="AK49" s="797" t="s">
        <v>1596</v>
      </c>
      <c r="AL49" s="1164"/>
    </row>
    <row r="50" spans="1:38">
      <c r="A50" s="783"/>
      <c r="B50" s="783">
        <v>442</v>
      </c>
      <c r="C50" s="783" t="s">
        <v>1579</v>
      </c>
      <c r="D50" s="783" t="s">
        <v>1592</v>
      </c>
      <c r="E50" s="808" t="s">
        <v>1597</v>
      </c>
      <c r="F50" s="784" t="s">
        <v>1450</v>
      </c>
      <c r="G50" s="784" t="s">
        <v>1504</v>
      </c>
      <c r="H50" s="785" t="s">
        <v>1497</v>
      </c>
      <c r="I50" s="785" t="s">
        <v>1540</v>
      </c>
      <c r="J50" s="786">
        <v>1</v>
      </c>
      <c r="K50" s="787">
        <f>1.1*O50</f>
        <v>198000.00000000003</v>
      </c>
      <c r="L50" s="788" t="e">
        <f>VLOOKUP(B50,#REF!,13,FALSE)</f>
        <v>#REF!</v>
      </c>
      <c r="M50" s="788">
        <v>0</v>
      </c>
      <c r="N50" s="789" t="e">
        <f>VLOOKUP(B50,#REF!,18,FALSE)</f>
        <v>#REF!</v>
      </c>
      <c r="O50" s="790">
        <v>180000</v>
      </c>
      <c r="P50" s="790">
        <v>180000</v>
      </c>
      <c r="Q50" s="791">
        <f>VLOOKUP(B50,'[10]zadanky all_011122'!$I$2:$J$79,2,FALSE)</f>
        <v>0</v>
      </c>
      <c r="R50" s="792">
        <f t="shared" si="5"/>
        <v>180000</v>
      </c>
      <c r="S50" s="792"/>
      <c r="T50" s="822"/>
      <c r="U50" s="792"/>
      <c r="V50" s="794">
        <v>0</v>
      </c>
      <c r="W50" s="792">
        <f>VLOOKUP(B50,'[10]zadanky all_011122'!$I$2:$J$72,2,FALSE)</f>
        <v>0</v>
      </c>
      <c r="X50" s="795">
        <f t="shared" si="11"/>
        <v>0</v>
      </c>
      <c r="Y50" s="794" t="e">
        <f t="shared" si="12"/>
        <v>#REF!</v>
      </c>
      <c r="Z50" s="794">
        <f t="shared" si="13"/>
        <v>0</v>
      </c>
      <c r="AA50" s="796"/>
      <c r="AB50" s="796"/>
      <c r="AC50" s="796"/>
      <c r="AD50" s="796"/>
      <c r="AE50" s="796"/>
      <c r="AF50" s="796"/>
      <c r="AG50" s="796"/>
      <c r="AH50" s="785"/>
      <c r="AI50" s="791"/>
      <c r="AJ50" s="792"/>
      <c r="AK50" s="797" t="s">
        <v>1598</v>
      </c>
      <c r="AL50" s="1164"/>
    </row>
    <row r="51" spans="1:38">
      <c r="A51" s="811">
        <v>65</v>
      </c>
      <c r="B51" s="811">
        <v>510</v>
      </c>
      <c r="C51" s="811"/>
      <c r="D51" s="811"/>
      <c r="E51" s="812" t="s">
        <v>1599</v>
      </c>
      <c r="F51" s="813" t="s">
        <v>1510</v>
      </c>
      <c r="G51" s="813"/>
      <c r="H51" s="801"/>
      <c r="I51" s="801"/>
      <c r="J51" s="801"/>
      <c r="K51" s="802">
        <f t="shared" ref="K51:K67" si="14">O51*1.1</f>
        <v>0</v>
      </c>
      <c r="L51" s="802" t="e">
        <f>VLOOKUP(B51,#REF!,13,FALSE)</f>
        <v>#REF!</v>
      </c>
      <c r="M51" s="802">
        <v>0</v>
      </c>
      <c r="N51" s="802" t="e">
        <f>VLOOKUP(B51,#REF!,18,FALSE)</f>
        <v>#REF!</v>
      </c>
      <c r="O51" s="803">
        <v>0</v>
      </c>
      <c r="P51" s="803">
        <f>VLOOKUP(B51,'[11]2024'!$B$5:$AG$71,18,FALSE)</f>
        <v>0</v>
      </c>
      <c r="Q51" s="804">
        <f>VLOOKUP(B51,'[10]zadanky all_011122'!$I$2:$J$79,2,FALSE)</f>
        <v>0</v>
      </c>
      <c r="R51" s="814">
        <f t="shared" si="5"/>
        <v>0</v>
      </c>
      <c r="S51" s="814"/>
      <c r="T51" s="811"/>
      <c r="U51" s="801"/>
      <c r="V51" s="801">
        <v>0</v>
      </c>
      <c r="W51" s="801">
        <f>VLOOKUP(B51,'[10]zadanky all_011122'!$I$2:$J$72,2,FALSE)</f>
        <v>0</v>
      </c>
      <c r="X51" s="801">
        <f t="shared" si="11"/>
        <v>0</v>
      </c>
      <c r="Y51" s="801" t="e">
        <f t="shared" si="12"/>
        <v>#REF!</v>
      </c>
      <c r="Z51" s="801">
        <f t="shared" si="13"/>
        <v>0</v>
      </c>
      <c r="AA51" s="815"/>
      <c r="AB51" s="815"/>
      <c r="AC51" s="815"/>
      <c r="AD51" s="806"/>
      <c r="AE51" s="806"/>
      <c r="AF51" s="806"/>
      <c r="AG51" s="806"/>
      <c r="AH51" s="814"/>
      <c r="AI51" s="804"/>
      <c r="AJ51" s="801"/>
      <c r="AK51" s="845"/>
      <c r="AL51" s="1164"/>
    </row>
    <row r="52" spans="1:38">
      <c r="A52" s="783">
        <v>14</v>
      </c>
      <c r="B52" s="783">
        <v>520</v>
      </c>
      <c r="C52" s="783" t="s">
        <v>1576</v>
      </c>
      <c r="D52" s="783" t="s">
        <v>145</v>
      </c>
      <c r="E52" s="823" t="s">
        <v>1600</v>
      </c>
      <c r="F52" s="824" t="s">
        <v>1450</v>
      </c>
      <c r="G52" s="825" t="s">
        <v>1504</v>
      </c>
      <c r="H52" s="785" t="s">
        <v>1497</v>
      </c>
      <c r="I52" s="785" t="s">
        <v>1450</v>
      </c>
      <c r="J52" s="786">
        <v>2</v>
      </c>
      <c r="K52" s="787">
        <f t="shared" si="14"/>
        <v>55000.000000000007</v>
      </c>
      <c r="L52" s="788" t="e">
        <f>VLOOKUP(B52,#REF!,13,FALSE)</f>
        <v>#REF!</v>
      </c>
      <c r="M52" s="788">
        <v>0</v>
      </c>
      <c r="N52" s="789" t="e">
        <f>VLOOKUP(B52,#REF!,18,FALSE)</f>
        <v>#REF!</v>
      </c>
      <c r="O52" s="790">
        <v>50000</v>
      </c>
      <c r="P52" s="790">
        <v>8540</v>
      </c>
      <c r="Q52" s="791">
        <f>VLOOKUP(B52,'[10]zadanky all_011122'!$I$2:$J$79,2,FALSE)</f>
        <v>8542.6</v>
      </c>
      <c r="R52" s="792">
        <f t="shared" si="5"/>
        <v>41457.4</v>
      </c>
      <c r="S52" s="792"/>
      <c r="T52" s="809" t="s">
        <v>1554</v>
      </c>
      <c r="U52" s="792">
        <v>0</v>
      </c>
      <c r="V52" s="794">
        <v>0</v>
      </c>
      <c r="W52" s="792">
        <f>VLOOKUP(B52,'[10]zadanky all_011122'!$I$2:$J$72,2,FALSE)</f>
        <v>8542.6</v>
      </c>
      <c r="X52" s="795">
        <f t="shared" si="11"/>
        <v>-8542.6</v>
      </c>
      <c r="Y52" s="794" t="e">
        <f t="shared" si="12"/>
        <v>#REF!</v>
      </c>
      <c r="Z52" s="794">
        <f t="shared" si="13"/>
        <v>-8542.6</v>
      </c>
      <c r="AA52" s="796"/>
      <c r="AB52" s="796"/>
      <c r="AC52" s="796"/>
      <c r="AD52" s="796">
        <v>0</v>
      </c>
      <c r="AE52" s="792" t="s">
        <v>1498</v>
      </c>
      <c r="AF52" s="797" t="s">
        <v>1519</v>
      </c>
      <c r="AG52" s="796">
        <v>80000</v>
      </c>
      <c r="AH52" s="785">
        <v>80000</v>
      </c>
      <c r="AI52" s="791">
        <v>2717</v>
      </c>
      <c r="AJ52" s="792">
        <f>AG52-AI52</f>
        <v>77283</v>
      </c>
      <c r="AK52" s="797" t="s">
        <v>1601</v>
      </c>
      <c r="AL52" s="1164"/>
    </row>
    <row r="53" spans="1:38" ht="28.5" customHeight="1">
      <c r="A53" s="811">
        <v>66</v>
      </c>
      <c r="B53" s="811">
        <v>530</v>
      </c>
      <c r="C53" s="811"/>
      <c r="D53" s="811"/>
      <c r="E53" s="812" t="s">
        <v>1602</v>
      </c>
      <c r="F53" s="813" t="s">
        <v>1510</v>
      </c>
      <c r="G53" s="813"/>
      <c r="H53" s="801"/>
      <c r="I53" s="801"/>
      <c r="J53" s="801"/>
      <c r="K53" s="802">
        <f t="shared" si="14"/>
        <v>0</v>
      </c>
      <c r="L53" s="802" t="e">
        <f>VLOOKUP(B53,#REF!,13,FALSE)</f>
        <v>#REF!</v>
      </c>
      <c r="M53" s="802">
        <v>0</v>
      </c>
      <c r="N53" s="802" t="e">
        <f>VLOOKUP(B53,#REF!,18,FALSE)</f>
        <v>#REF!</v>
      </c>
      <c r="O53" s="803">
        <v>0</v>
      </c>
      <c r="P53" s="803">
        <f>VLOOKUP(B53,'[11]2024'!$B$5:$AG$71,18,FALSE)</f>
        <v>0</v>
      </c>
      <c r="Q53" s="804">
        <f>VLOOKUP(B53,'[10]zadanky all_011122'!$I$2:$J$79,2,FALSE)</f>
        <v>0</v>
      </c>
      <c r="R53" s="814">
        <f t="shared" si="5"/>
        <v>0</v>
      </c>
      <c r="S53" s="814"/>
      <c r="T53" s="811"/>
      <c r="U53" s="801"/>
      <c r="V53" s="801">
        <v>0</v>
      </c>
      <c r="W53" s="801">
        <f>VLOOKUP(B53,'[10]zadanky all_011122'!$I$2:$J$72,2,FALSE)</f>
        <v>0</v>
      </c>
      <c r="X53" s="801">
        <f t="shared" si="11"/>
        <v>0</v>
      </c>
      <c r="Y53" s="801" t="e">
        <f t="shared" si="12"/>
        <v>#REF!</v>
      </c>
      <c r="Z53" s="801">
        <f t="shared" si="13"/>
        <v>0</v>
      </c>
      <c r="AA53" s="815"/>
      <c r="AB53" s="815"/>
      <c r="AC53" s="815"/>
      <c r="AD53" s="806"/>
      <c r="AE53" s="806"/>
      <c r="AF53" s="806"/>
      <c r="AG53" s="806"/>
      <c r="AH53" s="814"/>
      <c r="AI53" s="804"/>
      <c r="AJ53" s="801"/>
      <c r="AK53" s="845"/>
      <c r="AL53" s="1164"/>
    </row>
    <row r="54" spans="1:38">
      <c r="A54" s="783">
        <v>15</v>
      </c>
      <c r="B54" s="783">
        <v>540</v>
      </c>
      <c r="C54" s="783" t="s">
        <v>1576</v>
      </c>
      <c r="D54" s="783" t="s">
        <v>145</v>
      </c>
      <c r="E54" s="784" t="s">
        <v>1603</v>
      </c>
      <c r="F54" s="784" t="s">
        <v>1450</v>
      </c>
      <c r="G54" s="784" t="s">
        <v>1504</v>
      </c>
      <c r="H54" s="785" t="s">
        <v>1497</v>
      </c>
      <c r="I54" s="785" t="s">
        <v>1450</v>
      </c>
      <c r="J54" s="786">
        <v>2</v>
      </c>
      <c r="K54" s="787">
        <f t="shared" si="14"/>
        <v>110000.00000000001</v>
      </c>
      <c r="L54" s="788" t="e">
        <f>VLOOKUP(B54,#REF!,13,FALSE)</f>
        <v>#REF!</v>
      </c>
      <c r="M54" s="788">
        <v>0</v>
      </c>
      <c r="N54" s="789" t="e">
        <f>VLOOKUP(B54,#REF!,18,FALSE)</f>
        <v>#REF!</v>
      </c>
      <c r="O54" s="790">
        <v>100000</v>
      </c>
      <c r="P54" s="790">
        <v>0</v>
      </c>
      <c r="Q54" s="791">
        <f>VLOOKUP(B54,'[10]zadanky all_011122'!$I$2:$J$79,2,FALSE)</f>
        <v>0</v>
      </c>
      <c r="R54" s="792">
        <f t="shared" si="5"/>
        <v>100000</v>
      </c>
      <c r="S54" s="792"/>
      <c r="T54" s="793">
        <v>0</v>
      </c>
      <c r="U54" s="792">
        <v>0</v>
      </c>
      <c r="V54" s="794">
        <v>0</v>
      </c>
      <c r="W54" s="792">
        <f>VLOOKUP(B54,'[10]zadanky all_011122'!$I$2:$J$72,2,FALSE)</f>
        <v>0</v>
      </c>
      <c r="X54" s="795">
        <f t="shared" si="11"/>
        <v>0</v>
      </c>
      <c r="Y54" s="794" t="e">
        <f t="shared" si="12"/>
        <v>#REF!</v>
      </c>
      <c r="Z54" s="794">
        <f t="shared" si="13"/>
        <v>0</v>
      </c>
      <c r="AA54" s="796"/>
      <c r="AB54" s="796"/>
      <c r="AC54" s="796"/>
      <c r="AD54" s="796">
        <v>0</v>
      </c>
      <c r="AE54" s="792" t="s">
        <v>1498</v>
      </c>
      <c r="AF54" s="797" t="s">
        <v>1499</v>
      </c>
      <c r="AG54" s="796">
        <v>0</v>
      </c>
      <c r="AH54" s="785"/>
      <c r="AI54" s="791">
        <v>8360</v>
      </c>
      <c r="AJ54" s="792">
        <f>AG54-AI54</f>
        <v>-8360</v>
      </c>
      <c r="AK54" s="797" t="s">
        <v>1604</v>
      </c>
      <c r="AL54" s="1164"/>
    </row>
    <row r="55" spans="1:38">
      <c r="A55" s="811">
        <v>67</v>
      </c>
      <c r="B55" s="811">
        <v>590</v>
      </c>
      <c r="C55" s="811"/>
      <c r="D55" s="811"/>
      <c r="E55" s="812" t="s">
        <v>1605</v>
      </c>
      <c r="F55" s="813" t="s">
        <v>1510</v>
      </c>
      <c r="G55" s="813"/>
      <c r="H55" s="801"/>
      <c r="I55" s="801"/>
      <c r="J55" s="801"/>
      <c r="K55" s="802">
        <f t="shared" si="14"/>
        <v>0</v>
      </c>
      <c r="L55" s="802" t="e">
        <f>VLOOKUP(B55,#REF!,13,FALSE)</f>
        <v>#REF!</v>
      </c>
      <c r="M55" s="802">
        <v>0</v>
      </c>
      <c r="N55" s="802" t="e">
        <f>VLOOKUP(B55,#REF!,18,FALSE)</f>
        <v>#REF!</v>
      </c>
      <c r="O55" s="803">
        <v>0</v>
      </c>
      <c r="P55" s="803">
        <f>VLOOKUP(B55,'[11]2024'!$B$5:$AG$71,18,FALSE)</f>
        <v>0</v>
      </c>
      <c r="Q55" s="804">
        <f>VLOOKUP(B55,'[10]zadanky all_011122'!$I$2:$J$79,2,FALSE)</f>
        <v>0</v>
      </c>
      <c r="R55" s="814">
        <f t="shared" si="5"/>
        <v>0</v>
      </c>
      <c r="S55" s="814"/>
      <c r="T55" s="811"/>
      <c r="U55" s="801"/>
      <c r="V55" s="801">
        <v>0</v>
      </c>
      <c r="W55" s="801">
        <f>VLOOKUP(B55,'[10]zadanky all_011122'!$I$2:$J$72,2,FALSE)</f>
        <v>0</v>
      </c>
      <c r="X55" s="801">
        <f t="shared" si="11"/>
        <v>0</v>
      </c>
      <c r="Y55" s="801" t="e">
        <f t="shared" si="12"/>
        <v>#REF!</v>
      </c>
      <c r="Z55" s="801">
        <f t="shared" si="13"/>
        <v>0</v>
      </c>
      <c r="AA55" s="815"/>
      <c r="AB55" s="815"/>
      <c r="AC55" s="815"/>
      <c r="AD55" s="806"/>
      <c r="AE55" s="806"/>
      <c r="AF55" s="806"/>
      <c r="AG55" s="806"/>
      <c r="AH55" s="814"/>
      <c r="AI55" s="804"/>
      <c r="AJ55" s="801"/>
      <c r="AK55" s="845"/>
      <c r="AL55" s="1164"/>
    </row>
    <row r="56" spans="1:38">
      <c r="A56" s="783">
        <v>32</v>
      </c>
      <c r="B56" s="783">
        <v>600</v>
      </c>
      <c r="C56" s="783" t="s">
        <v>1576</v>
      </c>
      <c r="D56" s="783" t="s">
        <v>1522</v>
      </c>
      <c r="E56" s="824" t="s">
        <v>1606</v>
      </c>
      <c r="F56" s="824" t="s">
        <v>1590</v>
      </c>
      <c r="G56" s="825" t="s">
        <v>1496</v>
      </c>
      <c r="H56" s="785" t="s">
        <v>1497</v>
      </c>
      <c r="I56" s="785" t="s">
        <v>1450</v>
      </c>
      <c r="J56" s="786">
        <v>1</v>
      </c>
      <c r="K56" s="787">
        <f t="shared" si="14"/>
        <v>1650000.0000000002</v>
      </c>
      <c r="L56" s="788" t="e">
        <f>VLOOKUP(B56,#REF!,13,FALSE)</f>
        <v>#REF!</v>
      </c>
      <c r="M56" s="788">
        <v>0</v>
      </c>
      <c r="N56" s="789" t="e">
        <f>VLOOKUP(B56,#REF!,18,FALSE)</f>
        <v>#REF!</v>
      </c>
      <c r="O56" s="790">
        <v>1500000</v>
      </c>
      <c r="P56" s="790">
        <v>3000000</v>
      </c>
      <c r="Q56" s="791">
        <f>VLOOKUP(B56,'[10]zadanky all_011122'!$I$2:$J$79,2,FALSE)</f>
        <v>1442038</v>
      </c>
      <c r="R56" s="792">
        <f t="shared" si="5"/>
        <v>57962</v>
      </c>
      <c r="S56" s="792"/>
      <c r="T56" s="793">
        <v>0</v>
      </c>
      <c r="U56" s="792">
        <v>2520000</v>
      </c>
      <c r="V56" s="794">
        <v>2520000</v>
      </c>
      <c r="W56" s="792">
        <f>VLOOKUP(B56,'[10]zadanky all_011122'!$I$2:$J$72,2,FALSE)</f>
        <v>1442038</v>
      </c>
      <c r="X56" s="795">
        <f t="shared" si="11"/>
        <v>1077962</v>
      </c>
      <c r="Y56" s="794" t="e">
        <f t="shared" si="12"/>
        <v>#REF!</v>
      </c>
      <c r="Z56" s="794">
        <f t="shared" si="13"/>
        <v>1077962</v>
      </c>
      <c r="AA56" s="796"/>
      <c r="AB56" s="796"/>
      <c r="AC56" s="796"/>
      <c r="AD56" s="796">
        <v>0</v>
      </c>
      <c r="AE56" s="792" t="s">
        <v>1498</v>
      </c>
      <c r="AF56" s="797" t="s">
        <v>1499</v>
      </c>
      <c r="AG56" s="796">
        <v>3000000</v>
      </c>
      <c r="AH56" s="785"/>
      <c r="AI56" s="791">
        <v>0</v>
      </c>
      <c r="AJ56" s="792">
        <f>AG56-AI56</f>
        <v>3000000</v>
      </c>
      <c r="AK56" s="797" t="s">
        <v>1607</v>
      </c>
      <c r="AL56" s="1164"/>
    </row>
    <row r="57" spans="1:38" ht="28.8">
      <c r="A57" s="783">
        <v>55</v>
      </c>
      <c r="B57" s="783">
        <v>601</v>
      </c>
      <c r="C57" s="783" t="s">
        <v>1576</v>
      </c>
      <c r="D57" s="783" t="s">
        <v>1522</v>
      </c>
      <c r="E57" s="808" t="s">
        <v>1608</v>
      </c>
      <c r="F57" s="817" t="s">
        <v>1519</v>
      </c>
      <c r="G57" s="784" t="s">
        <v>1504</v>
      </c>
      <c r="H57" s="785"/>
      <c r="I57" s="785"/>
      <c r="J57" s="785"/>
      <c r="K57" s="787">
        <f t="shared" si="14"/>
        <v>0</v>
      </c>
      <c r="L57" s="788" t="e">
        <f>VLOOKUP(B57,#REF!,13,FALSE)</f>
        <v>#REF!</v>
      </c>
      <c r="M57" s="788">
        <v>0</v>
      </c>
      <c r="N57" s="789" t="e">
        <f>VLOOKUP(B57,#REF!,18,FALSE)</f>
        <v>#REF!</v>
      </c>
      <c r="O57" s="790">
        <v>0</v>
      </c>
      <c r="P57" s="790">
        <v>0</v>
      </c>
      <c r="Q57" s="791">
        <f>VLOOKUP(B57,'[10]zadanky all_011122'!$I$2:$J$79,2,FALSE)</f>
        <v>444760</v>
      </c>
      <c r="R57" s="792">
        <f t="shared" si="5"/>
        <v>-444760</v>
      </c>
      <c r="S57" s="792"/>
      <c r="T57" s="822">
        <v>1</v>
      </c>
      <c r="U57" s="792">
        <v>1000000</v>
      </c>
      <c r="V57" s="794">
        <v>250000</v>
      </c>
      <c r="W57" s="792">
        <f>VLOOKUP(B57,'[10]zadanky all_011122'!$I$2:$J$72,2,FALSE)</f>
        <v>444760</v>
      </c>
      <c r="X57" s="795">
        <f t="shared" si="11"/>
        <v>-194760</v>
      </c>
      <c r="Y57" s="794" t="e">
        <f t="shared" si="12"/>
        <v>#REF!</v>
      </c>
      <c r="Z57" s="794">
        <f t="shared" si="13"/>
        <v>-194760</v>
      </c>
      <c r="AA57" s="796"/>
      <c r="AB57" s="796"/>
      <c r="AC57" s="796"/>
      <c r="AD57" s="796">
        <v>0</v>
      </c>
      <c r="AE57" s="796">
        <v>0</v>
      </c>
      <c r="AF57" s="796">
        <v>0</v>
      </c>
      <c r="AG57" s="796">
        <v>0</v>
      </c>
      <c r="AH57" s="785"/>
      <c r="AI57" s="791"/>
      <c r="AJ57" s="792">
        <f>AG57-AI57</f>
        <v>0</v>
      </c>
      <c r="AK57" s="797"/>
      <c r="AL57" s="1164"/>
    </row>
    <row r="58" spans="1:38">
      <c r="A58" s="783"/>
      <c r="B58" s="783">
        <v>600</v>
      </c>
      <c r="C58" s="783" t="s">
        <v>1609</v>
      </c>
      <c r="D58" s="783" t="s">
        <v>1522</v>
      </c>
      <c r="E58" s="824" t="s">
        <v>1610</v>
      </c>
      <c r="F58" s="824" t="s">
        <v>1590</v>
      </c>
      <c r="G58" s="825" t="s">
        <v>1496</v>
      </c>
      <c r="H58" s="785" t="s">
        <v>1497</v>
      </c>
      <c r="I58" s="785" t="s">
        <v>1450</v>
      </c>
      <c r="J58" s="786">
        <v>1</v>
      </c>
      <c r="K58" s="787">
        <f t="shared" si="14"/>
        <v>792000.00000000012</v>
      </c>
      <c r="L58" s="788"/>
      <c r="M58" s="788"/>
      <c r="N58" s="789"/>
      <c r="O58" s="790">
        <v>720000</v>
      </c>
      <c r="P58" s="790">
        <v>0</v>
      </c>
      <c r="Q58" s="791"/>
      <c r="R58" s="792"/>
      <c r="S58" s="792"/>
      <c r="T58" s="822"/>
      <c r="U58" s="792"/>
      <c r="V58" s="794"/>
      <c r="W58" s="792"/>
      <c r="X58" s="795"/>
      <c r="Y58" s="794"/>
      <c r="Z58" s="794"/>
      <c r="AA58" s="796"/>
      <c r="AB58" s="796"/>
      <c r="AC58" s="796"/>
      <c r="AD58" s="796"/>
      <c r="AE58" s="796"/>
      <c r="AF58" s="796"/>
      <c r="AG58" s="796"/>
      <c r="AH58" s="785"/>
      <c r="AI58" s="791"/>
      <c r="AJ58" s="792"/>
      <c r="AK58" s="797" t="s">
        <v>1611</v>
      </c>
      <c r="AL58" s="848"/>
    </row>
    <row r="59" spans="1:38">
      <c r="A59" s="783">
        <v>8</v>
      </c>
      <c r="B59" s="783">
        <v>710</v>
      </c>
      <c r="C59" s="783" t="s">
        <v>1612</v>
      </c>
      <c r="D59" s="783" t="s">
        <v>1613</v>
      </c>
      <c r="E59" s="784" t="s">
        <v>1614</v>
      </c>
      <c r="F59" s="784" t="s">
        <v>1495</v>
      </c>
      <c r="G59" s="784" t="s">
        <v>1496</v>
      </c>
      <c r="H59" s="785" t="s">
        <v>1497</v>
      </c>
      <c r="I59" s="785" t="s">
        <v>1450</v>
      </c>
      <c r="J59" s="786">
        <v>1</v>
      </c>
      <c r="K59" s="787">
        <f t="shared" si="14"/>
        <v>163512.80000000002</v>
      </c>
      <c r="L59" s="788" t="e">
        <f>VLOOKUP(B59,#REF!,13,FALSE)</f>
        <v>#REF!</v>
      </c>
      <c r="M59" s="788">
        <v>0</v>
      </c>
      <c r="N59" s="789" t="e">
        <f>VLOOKUP(B59,#REF!,18,FALSE)</f>
        <v>#REF!</v>
      </c>
      <c r="O59" s="790">
        <v>148648</v>
      </c>
      <c r="P59" s="790">
        <v>160000</v>
      </c>
      <c r="Q59" s="791">
        <f>VLOOKUP(B59,'[10]zadanky all_011122'!$I$2:$J$79,2,FALSE)</f>
        <v>178710</v>
      </c>
      <c r="R59" s="792">
        <f t="shared" si="5"/>
        <v>-30062</v>
      </c>
      <c r="S59" s="792"/>
      <c r="T59" s="793">
        <v>0</v>
      </c>
      <c r="U59" s="792">
        <v>200000</v>
      </c>
      <c r="V59" s="794">
        <v>161524</v>
      </c>
      <c r="W59" s="792">
        <f>VLOOKUP(B59,'[10]zadanky all_011122'!$I$2:$J$72,2,FALSE)</f>
        <v>178710</v>
      </c>
      <c r="X59" s="795">
        <f t="shared" si="11"/>
        <v>-17186</v>
      </c>
      <c r="Y59" s="794" t="e">
        <f t="shared" si="12"/>
        <v>#REF!</v>
      </c>
      <c r="Z59" s="794">
        <f t="shared" si="13"/>
        <v>-17186</v>
      </c>
      <c r="AA59" s="796"/>
      <c r="AB59" s="796"/>
      <c r="AC59" s="796"/>
      <c r="AD59" s="796">
        <v>0</v>
      </c>
      <c r="AE59" s="792" t="s">
        <v>1498</v>
      </c>
      <c r="AF59" s="797" t="s">
        <v>1499</v>
      </c>
      <c r="AG59" s="796">
        <v>161524</v>
      </c>
      <c r="AH59" s="785"/>
      <c r="AI59" s="791">
        <v>148648</v>
      </c>
      <c r="AJ59" s="792">
        <f>AG59-AI59</f>
        <v>12876</v>
      </c>
      <c r="AK59" s="797" t="s">
        <v>1615</v>
      </c>
      <c r="AL59" s="848"/>
    </row>
    <row r="60" spans="1:38">
      <c r="A60" s="783">
        <v>7</v>
      </c>
      <c r="B60" s="783">
        <v>720</v>
      </c>
      <c r="C60" s="783" t="s">
        <v>1612</v>
      </c>
      <c r="D60" s="783" t="s">
        <v>1613</v>
      </c>
      <c r="E60" s="784" t="s">
        <v>1616</v>
      </c>
      <c r="F60" s="784" t="s">
        <v>1495</v>
      </c>
      <c r="G60" s="784" t="s">
        <v>1496</v>
      </c>
      <c r="H60" s="785" t="s">
        <v>1497</v>
      </c>
      <c r="I60" s="785" t="s">
        <v>1450</v>
      </c>
      <c r="J60" s="786">
        <v>1</v>
      </c>
      <c r="K60" s="787">
        <f t="shared" si="14"/>
        <v>26620.000000000004</v>
      </c>
      <c r="L60" s="788" t="e">
        <f>VLOOKUP(B60,#REF!,13,FALSE)</f>
        <v>#REF!</v>
      </c>
      <c r="M60" s="788">
        <v>0</v>
      </c>
      <c r="N60" s="789" t="e">
        <f>VLOOKUP(B60,#REF!,18,FALSE)</f>
        <v>#REF!</v>
      </c>
      <c r="O60" s="790">
        <v>24200</v>
      </c>
      <c r="P60" s="790">
        <f>VLOOKUP(B60,'[11]2024'!$B$5:$AG$71,18,FALSE)</f>
        <v>20000</v>
      </c>
      <c r="Q60" s="791">
        <f>VLOOKUP(B60,'[10]zadanky all_011122'!$I$2:$J$79,2,FALSE)</f>
        <v>20000</v>
      </c>
      <c r="R60" s="792">
        <f t="shared" si="5"/>
        <v>4200</v>
      </c>
      <c r="S60" s="792"/>
      <c r="T60" s="793">
        <v>0</v>
      </c>
      <c r="U60" s="792">
        <v>24200</v>
      </c>
      <c r="V60" s="794">
        <v>24200</v>
      </c>
      <c r="W60" s="792">
        <f>VLOOKUP(B60,'[10]zadanky all_011122'!$I$2:$J$72,2,FALSE)</f>
        <v>20000</v>
      </c>
      <c r="X60" s="795">
        <f t="shared" si="11"/>
        <v>4200</v>
      </c>
      <c r="Y60" s="794" t="e">
        <f t="shared" si="12"/>
        <v>#REF!</v>
      </c>
      <c r="Z60" s="794">
        <f t="shared" si="13"/>
        <v>4200</v>
      </c>
      <c r="AA60" s="796"/>
      <c r="AB60" s="796"/>
      <c r="AC60" s="796"/>
      <c r="AD60" s="796">
        <v>0</v>
      </c>
      <c r="AE60" s="792" t="s">
        <v>1498</v>
      </c>
      <c r="AF60" s="797" t="s">
        <v>1499</v>
      </c>
      <c r="AG60" s="796">
        <v>24200</v>
      </c>
      <c r="AH60" s="785"/>
      <c r="AI60" s="791">
        <v>24200</v>
      </c>
      <c r="AJ60" s="792">
        <f>AG60-AI60</f>
        <v>0</v>
      </c>
      <c r="AK60" s="797" t="s">
        <v>1617</v>
      </c>
      <c r="AL60" s="848"/>
    </row>
    <row r="61" spans="1:38">
      <c r="A61" s="783">
        <v>68</v>
      </c>
      <c r="B61" s="783">
        <v>730</v>
      </c>
      <c r="C61" s="783" t="s">
        <v>1612</v>
      </c>
      <c r="D61" s="783" t="s">
        <v>1613</v>
      </c>
      <c r="E61" s="808" t="s">
        <v>1618</v>
      </c>
      <c r="F61" s="784" t="s">
        <v>1450</v>
      </c>
      <c r="G61" s="784" t="s">
        <v>1496</v>
      </c>
      <c r="H61" s="785" t="s">
        <v>1497</v>
      </c>
      <c r="I61" s="785" t="s">
        <v>1450</v>
      </c>
      <c r="J61" s="786">
        <v>1</v>
      </c>
      <c r="K61" s="787">
        <f t="shared" si="14"/>
        <v>22000</v>
      </c>
      <c r="L61" s="788" t="e">
        <f>VLOOKUP(B61,#REF!,13,FALSE)</f>
        <v>#REF!</v>
      </c>
      <c r="M61" s="788">
        <v>0</v>
      </c>
      <c r="N61" s="789" t="e">
        <f>VLOOKUP(B61,#REF!,18,FALSE)</f>
        <v>#REF!</v>
      </c>
      <c r="O61" s="790">
        <v>20000</v>
      </c>
      <c r="P61" s="790">
        <f>VLOOKUP(B61,'[11]2024'!$B$5:$AG$71,18,FALSE)</f>
        <v>0</v>
      </c>
      <c r="Q61" s="791">
        <f>VLOOKUP(B61,'[10]zadanky all_011122'!$I$2:$J$79,2,FALSE)</f>
        <v>27220</v>
      </c>
      <c r="R61" s="792">
        <f t="shared" si="5"/>
        <v>-7220</v>
      </c>
      <c r="S61" s="792"/>
      <c r="T61" s="822"/>
      <c r="U61" s="792"/>
      <c r="V61" s="794">
        <v>0</v>
      </c>
      <c r="W61" s="792">
        <f>VLOOKUP(B61,'[10]zadanky all_011122'!$I$2:$J$72,2,FALSE)</f>
        <v>27220</v>
      </c>
      <c r="X61" s="795">
        <f t="shared" si="11"/>
        <v>-27220</v>
      </c>
      <c r="Y61" s="794" t="e">
        <f t="shared" si="12"/>
        <v>#REF!</v>
      </c>
      <c r="Z61" s="794">
        <f t="shared" si="13"/>
        <v>-27220</v>
      </c>
      <c r="AA61" s="796"/>
      <c r="AB61" s="796"/>
      <c r="AC61" s="796"/>
      <c r="AD61" s="796"/>
      <c r="AE61" s="796"/>
      <c r="AF61" s="796"/>
      <c r="AG61" s="796"/>
      <c r="AH61" s="785"/>
      <c r="AI61" s="791"/>
      <c r="AJ61" s="792"/>
      <c r="AK61" s="797" t="s">
        <v>1619</v>
      </c>
      <c r="AL61" s="848"/>
    </row>
    <row r="62" spans="1:38">
      <c r="A62" s="811">
        <v>69</v>
      </c>
      <c r="B62" s="811">
        <v>800</v>
      </c>
      <c r="C62" s="811"/>
      <c r="D62" s="811"/>
      <c r="E62" s="812" t="s">
        <v>221</v>
      </c>
      <c r="F62" s="813" t="s">
        <v>1510</v>
      </c>
      <c r="G62" s="813"/>
      <c r="H62" s="801"/>
      <c r="I62" s="801"/>
      <c r="J62" s="801"/>
      <c r="K62" s="802">
        <f t="shared" si="14"/>
        <v>0</v>
      </c>
      <c r="L62" s="802" t="e">
        <f>VLOOKUP(B62,#REF!,13,FALSE)</f>
        <v>#REF!</v>
      </c>
      <c r="M62" s="802">
        <v>0</v>
      </c>
      <c r="N62" s="802" t="e">
        <f>VLOOKUP(B62,#REF!,18,FALSE)</f>
        <v>#REF!</v>
      </c>
      <c r="O62" s="803">
        <v>0</v>
      </c>
      <c r="P62" s="803">
        <f>VLOOKUP(B62,'[11]2024'!$B$5:$AG$71,18,FALSE)</f>
        <v>0</v>
      </c>
      <c r="Q62" s="804">
        <f>VLOOKUP(B62,'[10]zadanky all_011122'!$I$2:$J$79,2,FALSE)</f>
        <v>0</v>
      </c>
      <c r="R62" s="814">
        <f t="shared" si="5"/>
        <v>0</v>
      </c>
      <c r="S62" s="814"/>
      <c r="T62" s="811"/>
      <c r="U62" s="801"/>
      <c r="V62" s="801">
        <v>0</v>
      </c>
      <c r="W62" s="801">
        <f>VLOOKUP(B62,'[10]zadanky all_011122'!$I$2:$J$72,2,FALSE)</f>
        <v>0</v>
      </c>
      <c r="X62" s="801">
        <f t="shared" si="11"/>
        <v>0</v>
      </c>
      <c r="Y62" s="801" t="e">
        <f t="shared" si="12"/>
        <v>#REF!</v>
      </c>
      <c r="Z62" s="801">
        <f t="shared" si="13"/>
        <v>0</v>
      </c>
      <c r="AA62" s="815"/>
      <c r="AB62" s="815"/>
      <c r="AC62" s="815"/>
      <c r="AD62" s="806"/>
      <c r="AE62" s="806"/>
      <c r="AF62" s="806"/>
      <c r="AG62" s="806"/>
      <c r="AH62" s="814"/>
      <c r="AI62" s="804"/>
      <c r="AJ62" s="801"/>
      <c r="AK62" s="845"/>
      <c r="AL62" s="848"/>
    </row>
    <row r="63" spans="1:38">
      <c r="A63" s="811">
        <v>56</v>
      </c>
      <c r="B63" s="811">
        <v>910</v>
      </c>
      <c r="C63" s="811"/>
      <c r="D63" s="811"/>
      <c r="E63" s="812" t="s">
        <v>1620</v>
      </c>
      <c r="F63" s="813" t="s">
        <v>1510</v>
      </c>
      <c r="G63" s="813"/>
      <c r="H63" s="801"/>
      <c r="I63" s="801"/>
      <c r="J63" s="801"/>
      <c r="K63" s="802">
        <f t="shared" si="14"/>
        <v>0</v>
      </c>
      <c r="L63" s="802" t="e">
        <f>VLOOKUP(B63,#REF!,13,FALSE)</f>
        <v>#REF!</v>
      </c>
      <c r="M63" s="802">
        <v>0</v>
      </c>
      <c r="N63" s="802" t="e">
        <f>VLOOKUP(B63,#REF!,18,FALSE)</f>
        <v>#REF!</v>
      </c>
      <c r="O63" s="803">
        <v>0</v>
      </c>
      <c r="P63" s="803">
        <f>VLOOKUP(B63,'[11]2024'!$B$5:$AG$71,18,FALSE)</f>
        <v>0</v>
      </c>
      <c r="Q63" s="804">
        <f>VLOOKUP(B63,'[10]zadanky all_011122'!$I$2:$J$79,2,FALSE)</f>
        <v>0</v>
      </c>
      <c r="R63" s="814">
        <f t="shared" si="5"/>
        <v>0</v>
      </c>
      <c r="S63" s="814"/>
      <c r="T63" s="811" t="s">
        <v>1554</v>
      </c>
      <c r="U63" s="801">
        <v>72000</v>
      </c>
      <c r="V63" s="801">
        <v>0</v>
      </c>
      <c r="W63" s="801">
        <f>VLOOKUP(B63,'[10]zadanky all_011122'!$I$2:$J$72,2,FALSE)</f>
        <v>0</v>
      </c>
      <c r="X63" s="801">
        <f t="shared" si="11"/>
        <v>0</v>
      </c>
      <c r="Y63" s="801" t="e">
        <f t="shared" si="12"/>
        <v>#REF!</v>
      </c>
      <c r="Z63" s="801">
        <f t="shared" si="13"/>
        <v>0</v>
      </c>
      <c r="AA63" s="815"/>
      <c r="AB63" s="815"/>
      <c r="AC63" s="815"/>
      <c r="AD63" s="806">
        <v>0</v>
      </c>
      <c r="AE63" s="806">
        <v>0</v>
      </c>
      <c r="AF63" s="806">
        <v>0</v>
      </c>
      <c r="AG63" s="806">
        <v>0</v>
      </c>
      <c r="AH63" s="814">
        <v>72000</v>
      </c>
      <c r="AI63" s="804"/>
      <c r="AJ63" s="801">
        <f t="shared" ref="AJ63:AJ75" si="15">AG63-AI63</f>
        <v>0</v>
      </c>
      <c r="AK63" s="845"/>
      <c r="AL63" s="848"/>
    </row>
    <row r="64" spans="1:38">
      <c r="A64" s="849">
        <v>70</v>
      </c>
      <c r="B64" s="849">
        <v>911</v>
      </c>
      <c r="C64" s="783" t="s">
        <v>1492</v>
      </c>
      <c r="D64" s="783" t="s">
        <v>1621</v>
      </c>
      <c r="E64" s="808" t="s">
        <v>1622</v>
      </c>
      <c r="F64" s="817" t="s">
        <v>1519</v>
      </c>
      <c r="G64" s="784" t="s">
        <v>1504</v>
      </c>
      <c r="H64" s="785"/>
      <c r="I64" s="785"/>
      <c r="J64" s="785"/>
      <c r="K64" s="787">
        <f t="shared" si="14"/>
        <v>0</v>
      </c>
      <c r="L64" s="788" t="e">
        <f>VLOOKUP(B64,#REF!,13,FALSE)</f>
        <v>#REF!</v>
      </c>
      <c r="M64" s="788">
        <v>0</v>
      </c>
      <c r="N64" s="789" t="e">
        <f>VLOOKUP(B64,#REF!,18,FALSE)</f>
        <v>#REF!</v>
      </c>
      <c r="O64" s="790">
        <v>0</v>
      </c>
      <c r="P64" s="790">
        <v>0</v>
      </c>
      <c r="Q64" s="791">
        <f>VLOOKUP(B64,'[10]zadanky all_011122'!$I$2:$J$79,2,FALSE)</f>
        <v>95590</v>
      </c>
      <c r="R64" s="792">
        <f t="shared" si="5"/>
        <v>-95590</v>
      </c>
      <c r="S64" s="792"/>
      <c r="T64" s="809">
        <v>1</v>
      </c>
      <c r="U64" s="821">
        <v>70000</v>
      </c>
      <c r="V64" s="794">
        <v>0</v>
      </c>
      <c r="W64" s="792">
        <f>VLOOKUP(B64,'[10]zadanky all_011122'!$I$2:$J$72,2,FALSE)</f>
        <v>95590</v>
      </c>
      <c r="X64" s="795">
        <f t="shared" si="11"/>
        <v>-95590</v>
      </c>
      <c r="Y64" s="794" t="e">
        <f t="shared" si="12"/>
        <v>#REF!</v>
      </c>
      <c r="Z64" s="794">
        <f t="shared" si="13"/>
        <v>-95590</v>
      </c>
      <c r="AA64" s="796"/>
      <c r="AB64" s="796"/>
      <c r="AC64" s="796"/>
      <c r="AD64" s="796">
        <v>150000</v>
      </c>
      <c r="AE64" s="792" t="s">
        <v>1536</v>
      </c>
      <c r="AF64" s="797" t="s">
        <v>1565</v>
      </c>
      <c r="AG64" s="796">
        <v>70000</v>
      </c>
      <c r="AH64" s="785"/>
      <c r="AI64" s="791">
        <v>0</v>
      </c>
      <c r="AJ64" s="792">
        <f t="shared" si="15"/>
        <v>70000</v>
      </c>
      <c r="AK64" s="797" t="s">
        <v>1623</v>
      </c>
      <c r="AL64" s="848"/>
    </row>
    <row r="65" spans="1:38">
      <c r="A65" s="849">
        <v>35</v>
      </c>
      <c r="B65" s="849">
        <v>912</v>
      </c>
      <c r="C65" s="783" t="s">
        <v>1492</v>
      </c>
      <c r="D65" s="783" t="s">
        <v>1621</v>
      </c>
      <c r="E65" s="808" t="s">
        <v>1624</v>
      </c>
      <c r="F65" s="817" t="s">
        <v>1519</v>
      </c>
      <c r="G65" s="784" t="s">
        <v>1504</v>
      </c>
      <c r="H65" s="785"/>
      <c r="I65" s="785"/>
      <c r="J65" s="785"/>
      <c r="K65" s="787">
        <f t="shared" si="14"/>
        <v>110000.00000000001</v>
      </c>
      <c r="L65" s="788" t="e">
        <f>VLOOKUP(B65,#REF!,13,FALSE)</f>
        <v>#REF!</v>
      </c>
      <c r="M65" s="788">
        <v>0</v>
      </c>
      <c r="N65" s="789" t="e">
        <f>VLOOKUP(B65,#REF!,18,FALSE)</f>
        <v>#REF!</v>
      </c>
      <c r="O65" s="790">
        <v>100000</v>
      </c>
      <c r="P65" s="790">
        <f>VLOOKUP(B65,'[11]2024'!$B$5:$AG$71,18,FALSE)</f>
        <v>0</v>
      </c>
      <c r="Q65" s="791">
        <f>VLOOKUP(B65,'[10]zadanky all_011122'!$I$2:$J$79,2,FALSE)</f>
        <v>0</v>
      </c>
      <c r="R65" s="792">
        <f t="shared" si="5"/>
        <v>100000</v>
      </c>
      <c r="S65" s="792"/>
      <c r="T65" s="809">
        <v>1</v>
      </c>
      <c r="U65" s="821">
        <v>80000</v>
      </c>
      <c r="V65" s="794">
        <v>0</v>
      </c>
      <c r="W65" s="792">
        <f>VLOOKUP(B65,'[10]zadanky all_011122'!$I$2:$J$72,2,FALSE)</f>
        <v>0</v>
      </c>
      <c r="X65" s="795">
        <f t="shared" si="11"/>
        <v>0</v>
      </c>
      <c r="Y65" s="794" t="e">
        <f t="shared" si="12"/>
        <v>#REF!</v>
      </c>
      <c r="Z65" s="794">
        <f t="shared" si="13"/>
        <v>0</v>
      </c>
      <c r="AA65" s="796"/>
      <c r="AB65" s="796"/>
      <c r="AC65" s="796"/>
      <c r="AD65" s="796">
        <v>0</v>
      </c>
      <c r="AE65" s="792" t="s">
        <v>1498</v>
      </c>
      <c r="AF65" s="797" t="s">
        <v>1499</v>
      </c>
      <c r="AG65" s="796">
        <v>70000</v>
      </c>
      <c r="AH65" s="785"/>
      <c r="AI65" s="791">
        <v>0</v>
      </c>
      <c r="AJ65" s="792">
        <f t="shared" si="15"/>
        <v>70000</v>
      </c>
      <c r="AK65" s="797" t="s">
        <v>1625</v>
      </c>
      <c r="AL65" s="848"/>
    </row>
    <row r="66" spans="1:38">
      <c r="A66" s="849">
        <v>30</v>
      </c>
      <c r="B66" s="849">
        <v>913</v>
      </c>
      <c r="C66" s="783" t="s">
        <v>1492</v>
      </c>
      <c r="D66" s="783" t="s">
        <v>1621</v>
      </c>
      <c r="E66" s="808" t="s">
        <v>1626</v>
      </c>
      <c r="F66" s="817" t="s">
        <v>1519</v>
      </c>
      <c r="G66" s="784" t="s">
        <v>1504</v>
      </c>
      <c r="H66" s="785"/>
      <c r="I66" s="785"/>
      <c r="J66" s="785"/>
      <c r="K66" s="787">
        <f t="shared" si="14"/>
        <v>0</v>
      </c>
      <c r="L66" s="788" t="e">
        <f>VLOOKUP(B66,#REF!,13,FALSE)</f>
        <v>#REF!</v>
      </c>
      <c r="M66" s="788">
        <v>0</v>
      </c>
      <c r="N66" s="789" t="e">
        <f>VLOOKUP(B66,#REF!,18,FALSE)</f>
        <v>#REF!</v>
      </c>
      <c r="O66" s="790">
        <v>0</v>
      </c>
      <c r="P66" s="790">
        <f>VLOOKUP(B66,'[11]2024'!$B$5:$AG$71,18,FALSE)</f>
        <v>0</v>
      </c>
      <c r="Q66" s="791">
        <f>VLOOKUP(B66,'[10]zadanky all_011122'!$I$2:$J$79,2,FALSE)</f>
        <v>0</v>
      </c>
      <c r="R66" s="792">
        <f t="shared" si="5"/>
        <v>0</v>
      </c>
      <c r="S66" s="792"/>
      <c r="T66" s="809">
        <v>1</v>
      </c>
      <c r="U66" s="821">
        <v>80000</v>
      </c>
      <c r="V66" s="794">
        <v>0</v>
      </c>
      <c r="W66" s="792">
        <f>VLOOKUP(B66,'[10]zadanky all_011122'!$I$2:$J$72,2,FALSE)</f>
        <v>0</v>
      </c>
      <c r="X66" s="795">
        <f t="shared" si="11"/>
        <v>0</v>
      </c>
      <c r="Y66" s="794" t="e">
        <f t="shared" si="12"/>
        <v>#REF!</v>
      </c>
      <c r="Z66" s="794">
        <f t="shared" si="13"/>
        <v>0</v>
      </c>
      <c r="AA66" s="796"/>
      <c r="AB66" s="796"/>
      <c r="AC66" s="796"/>
      <c r="AD66" s="796">
        <v>150000</v>
      </c>
      <c r="AE66" s="792" t="s">
        <v>1536</v>
      </c>
      <c r="AF66" s="797" t="s">
        <v>1499</v>
      </c>
      <c r="AG66" s="796">
        <v>70000</v>
      </c>
      <c r="AH66" s="785"/>
      <c r="AI66" s="791">
        <v>0</v>
      </c>
      <c r="AJ66" s="792">
        <f t="shared" si="15"/>
        <v>70000</v>
      </c>
      <c r="AK66" s="797" t="s">
        <v>477</v>
      </c>
      <c r="AL66" s="848"/>
    </row>
    <row r="67" spans="1:38">
      <c r="A67" s="849">
        <v>28</v>
      </c>
      <c r="B67" s="849">
        <v>914</v>
      </c>
      <c r="C67" s="783" t="s">
        <v>1534</v>
      </c>
      <c r="D67" s="783" t="s">
        <v>1627</v>
      </c>
      <c r="E67" s="808" t="s">
        <v>1628</v>
      </c>
      <c r="F67" s="817" t="s">
        <v>1519</v>
      </c>
      <c r="G67" s="784" t="s">
        <v>1504</v>
      </c>
      <c r="H67" s="785"/>
      <c r="I67" s="785"/>
      <c r="J67" s="785"/>
      <c r="K67" s="787">
        <f t="shared" si="14"/>
        <v>110000.00000000001</v>
      </c>
      <c r="L67" s="788" t="e">
        <f>VLOOKUP(B67,#REF!,13,FALSE)</f>
        <v>#REF!</v>
      </c>
      <c r="M67" s="788">
        <v>0</v>
      </c>
      <c r="N67" s="789" t="e">
        <f>VLOOKUP(B67,#REF!,18,FALSE)</f>
        <v>#REF!</v>
      </c>
      <c r="O67" s="790">
        <v>100000</v>
      </c>
      <c r="P67" s="790">
        <f>VLOOKUP(B67,'[11]2024'!$B$5:$AG$71,18,FALSE)</f>
        <v>0</v>
      </c>
      <c r="Q67" s="791">
        <f>VLOOKUP(B67,'[10]zadanky all_011122'!$I$2:$J$79,2,FALSE)</f>
        <v>0</v>
      </c>
      <c r="R67" s="792">
        <f t="shared" si="5"/>
        <v>100000</v>
      </c>
      <c r="S67" s="792"/>
      <c r="T67" s="809">
        <v>1</v>
      </c>
      <c r="U67" s="792">
        <v>70000</v>
      </c>
      <c r="V67" s="794">
        <v>0</v>
      </c>
      <c r="W67" s="792">
        <f>VLOOKUP(B67,'[10]zadanky all_011122'!$I$2:$J$72,2,FALSE)</f>
        <v>0</v>
      </c>
      <c r="X67" s="795">
        <f t="shared" si="11"/>
        <v>0</v>
      </c>
      <c r="Y67" s="794" t="e">
        <f t="shared" si="12"/>
        <v>#REF!</v>
      </c>
      <c r="Z67" s="794">
        <f t="shared" si="13"/>
        <v>0</v>
      </c>
      <c r="AA67" s="796"/>
      <c r="AB67" s="796"/>
      <c r="AC67" s="796"/>
      <c r="AD67" s="796">
        <v>0</v>
      </c>
      <c r="AE67" s="792" t="s">
        <v>1498</v>
      </c>
      <c r="AF67" s="797" t="s">
        <v>1499</v>
      </c>
      <c r="AG67" s="796">
        <v>70000</v>
      </c>
      <c r="AH67" s="785"/>
      <c r="AI67" s="791">
        <v>0</v>
      </c>
      <c r="AJ67" s="792">
        <f t="shared" si="15"/>
        <v>70000</v>
      </c>
      <c r="AK67" s="797" t="s">
        <v>1629</v>
      </c>
      <c r="AL67" s="848"/>
    </row>
    <row r="68" spans="1:38">
      <c r="A68" s="783">
        <v>31</v>
      </c>
      <c r="B68" s="783">
        <v>915</v>
      </c>
      <c r="C68" s="783" t="s">
        <v>1534</v>
      </c>
      <c r="D68" s="783" t="s">
        <v>1630</v>
      </c>
      <c r="E68" s="808" t="s">
        <v>1631</v>
      </c>
      <c r="F68" s="817" t="s">
        <v>1519</v>
      </c>
      <c r="G68" s="784" t="s">
        <v>1504</v>
      </c>
      <c r="H68" s="785"/>
      <c r="I68" s="785"/>
      <c r="J68" s="785"/>
      <c r="K68" s="787">
        <v>0</v>
      </c>
      <c r="L68" s="788" t="e">
        <f>VLOOKUP(B68,#REF!,13,FALSE)</f>
        <v>#REF!</v>
      </c>
      <c r="M68" s="788">
        <v>0</v>
      </c>
      <c r="N68" s="789" t="e">
        <f>VLOOKUP(B68,#REF!,18,FALSE)</f>
        <v>#REF!</v>
      </c>
      <c r="O68" s="790">
        <v>0</v>
      </c>
      <c r="P68" s="790">
        <f>VLOOKUP(B68,'[11]2024'!$B$5:$AG$71,18,FALSE)</f>
        <v>0</v>
      </c>
      <c r="Q68" s="791">
        <f>VLOOKUP(B68,'[10]zadanky all_011122'!$I$2:$J$79,2,FALSE)</f>
        <v>0</v>
      </c>
      <c r="R68" s="792">
        <f t="shared" si="5"/>
        <v>0</v>
      </c>
      <c r="S68" s="792"/>
      <c r="T68" s="809">
        <v>1</v>
      </c>
      <c r="U68" s="792">
        <v>0</v>
      </c>
      <c r="V68" s="794">
        <v>0</v>
      </c>
      <c r="W68" s="792">
        <f>VLOOKUP(B68,'[10]zadanky all_011122'!$I$2:$J$72,2,FALSE)</f>
        <v>0</v>
      </c>
      <c r="X68" s="795">
        <f t="shared" si="11"/>
        <v>0</v>
      </c>
      <c r="Y68" s="794" t="e">
        <f t="shared" si="12"/>
        <v>#REF!</v>
      </c>
      <c r="Z68" s="794">
        <f t="shared" si="13"/>
        <v>0</v>
      </c>
      <c r="AA68" s="796"/>
      <c r="AB68" s="796"/>
      <c r="AC68" s="796"/>
      <c r="AD68" s="796">
        <v>0</v>
      </c>
      <c r="AE68" s="792" t="s">
        <v>1498</v>
      </c>
      <c r="AF68" s="797" t="s">
        <v>1499</v>
      </c>
      <c r="AG68" s="796">
        <v>120000</v>
      </c>
      <c r="AH68" s="785"/>
      <c r="AI68" s="791">
        <v>0</v>
      </c>
      <c r="AJ68" s="792">
        <f t="shared" si="15"/>
        <v>120000</v>
      </c>
      <c r="AK68" s="797" t="s">
        <v>1632</v>
      </c>
      <c r="AL68" s="848"/>
    </row>
    <row r="69" spans="1:38">
      <c r="A69" s="783">
        <v>51</v>
      </c>
      <c r="B69" s="783">
        <v>916</v>
      </c>
      <c r="C69" s="783" t="s">
        <v>1534</v>
      </c>
      <c r="D69" s="783" t="s">
        <v>1633</v>
      </c>
      <c r="E69" s="808" t="s">
        <v>1634</v>
      </c>
      <c r="F69" s="817" t="s">
        <v>1519</v>
      </c>
      <c r="G69" s="784" t="s">
        <v>1504</v>
      </c>
      <c r="H69" s="785"/>
      <c r="I69" s="785"/>
      <c r="J69" s="785"/>
      <c r="K69" s="787">
        <v>0</v>
      </c>
      <c r="L69" s="788" t="e">
        <f>VLOOKUP(B69,#REF!,13,FALSE)</f>
        <v>#REF!</v>
      </c>
      <c r="M69" s="788">
        <v>0</v>
      </c>
      <c r="N69" s="789" t="e">
        <f>VLOOKUP(B69,#REF!,18,FALSE)</f>
        <v>#REF!</v>
      </c>
      <c r="O69" s="790">
        <v>0</v>
      </c>
      <c r="P69" s="790">
        <v>0</v>
      </c>
      <c r="Q69" s="791">
        <f>VLOOKUP(B69,'[10]zadanky all_011122'!$I$2:$J$79,2,FALSE)</f>
        <v>0</v>
      </c>
      <c r="R69" s="792">
        <f t="shared" si="5"/>
        <v>0</v>
      </c>
      <c r="S69" s="792"/>
      <c r="T69" s="822" t="s">
        <v>1554</v>
      </c>
      <c r="U69" s="792">
        <v>100000</v>
      </c>
      <c r="V69" s="794">
        <v>0</v>
      </c>
      <c r="W69" s="792">
        <f>VLOOKUP(B69,'[10]zadanky all_011122'!$I$2:$J$72,2,FALSE)</f>
        <v>0</v>
      </c>
      <c r="X69" s="795">
        <f t="shared" si="11"/>
        <v>0</v>
      </c>
      <c r="Y69" s="794" t="e">
        <f t="shared" si="12"/>
        <v>#REF!</v>
      </c>
      <c r="Z69" s="794">
        <f t="shared" si="13"/>
        <v>0</v>
      </c>
      <c r="AA69" s="796"/>
      <c r="AB69" s="796"/>
      <c r="AC69" s="796"/>
      <c r="AD69" s="796">
        <v>0</v>
      </c>
      <c r="AE69" s="796">
        <v>0</v>
      </c>
      <c r="AF69" s="796">
        <v>0</v>
      </c>
      <c r="AG69" s="796">
        <v>0</v>
      </c>
      <c r="AH69" s="785">
        <v>100000</v>
      </c>
      <c r="AI69" s="791"/>
      <c r="AJ69" s="792">
        <f t="shared" si="15"/>
        <v>0</v>
      </c>
      <c r="AK69" s="797"/>
      <c r="AL69" s="848"/>
    </row>
    <row r="70" spans="1:38">
      <c r="A70" s="783">
        <v>21</v>
      </c>
      <c r="B70" s="783">
        <v>951</v>
      </c>
      <c r="C70" s="783" t="s">
        <v>1534</v>
      </c>
      <c r="D70" s="783" t="s">
        <v>1542</v>
      </c>
      <c r="E70" s="808" t="s">
        <v>1635</v>
      </c>
      <c r="F70" s="784" t="s">
        <v>1450</v>
      </c>
      <c r="G70" s="784" t="s">
        <v>1504</v>
      </c>
      <c r="H70" s="785" t="s">
        <v>1497</v>
      </c>
      <c r="I70" s="785" t="s">
        <v>1540</v>
      </c>
      <c r="J70" s="786">
        <v>1</v>
      </c>
      <c r="K70" s="787">
        <f>1.1*O70</f>
        <v>605000</v>
      </c>
      <c r="L70" s="788" t="e">
        <f>VLOOKUP(B70,#REF!,13,FALSE)</f>
        <v>#REF!</v>
      </c>
      <c r="M70" s="788">
        <v>0</v>
      </c>
      <c r="N70" s="789" t="e">
        <f>VLOOKUP(B70,#REF!,18,FALSE)</f>
        <v>#REF!</v>
      </c>
      <c r="O70" s="790">
        <v>550000</v>
      </c>
      <c r="P70" s="790">
        <f>VLOOKUP(B70,'[11]2024'!$B$5:$AG$71,18,FALSE)</f>
        <v>0</v>
      </c>
      <c r="Q70" s="791">
        <f>VLOOKUP(B70,'[10]zadanky all_011122'!$I$2:$J$79,2,FALSE)</f>
        <v>0</v>
      </c>
      <c r="R70" s="792">
        <f t="shared" si="5"/>
        <v>550000</v>
      </c>
      <c r="S70" s="792"/>
      <c r="T70" s="809">
        <v>1</v>
      </c>
      <c r="U70" s="826">
        <v>0</v>
      </c>
      <c r="V70" s="794">
        <v>55000</v>
      </c>
      <c r="W70" s="792">
        <f>VLOOKUP(B70,'[10]zadanky all_011122'!$I$2:$J$72,2,FALSE)</f>
        <v>0</v>
      </c>
      <c r="X70" s="795">
        <f t="shared" si="11"/>
        <v>55000</v>
      </c>
      <c r="Y70" s="794" t="e">
        <f t="shared" si="12"/>
        <v>#REF!</v>
      </c>
      <c r="Z70" s="794">
        <f t="shared" si="13"/>
        <v>55000</v>
      </c>
      <c r="AA70" s="796"/>
      <c r="AB70" s="796"/>
      <c r="AC70" s="796"/>
      <c r="AD70" s="796">
        <v>1000000</v>
      </c>
      <c r="AE70" s="792" t="s">
        <v>1536</v>
      </c>
      <c r="AF70" s="797" t="s">
        <v>1499</v>
      </c>
      <c r="AG70" s="796">
        <v>800000</v>
      </c>
      <c r="AH70" s="785"/>
      <c r="AI70" s="791">
        <v>0</v>
      </c>
      <c r="AJ70" s="792">
        <f t="shared" si="15"/>
        <v>800000</v>
      </c>
      <c r="AK70" s="797" t="s">
        <v>1636</v>
      </c>
      <c r="AL70" s="848"/>
    </row>
    <row r="71" spans="1:38">
      <c r="A71" s="831">
        <v>39</v>
      </c>
      <c r="B71" s="831">
        <v>952</v>
      </c>
      <c r="C71" s="831" t="s">
        <v>1534</v>
      </c>
      <c r="D71" s="831" t="s">
        <v>1567</v>
      </c>
      <c r="E71" s="832" t="s">
        <v>1637</v>
      </c>
      <c r="F71" s="850" t="s">
        <v>1450</v>
      </c>
      <c r="G71" s="834" t="s">
        <v>1504</v>
      </c>
      <c r="H71" s="835" t="s">
        <v>1638</v>
      </c>
      <c r="I71" s="835" t="s">
        <v>1450</v>
      </c>
      <c r="J71" s="835"/>
      <c r="K71" s="837">
        <f>O71*1.1</f>
        <v>33000</v>
      </c>
      <c r="L71" s="837" t="e">
        <f>VLOOKUP(B71,#REF!,13,FALSE)</f>
        <v>#REF!</v>
      </c>
      <c r="M71" s="837">
        <v>0</v>
      </c>
      <c r="N71" s="837" t="e">
        <f>VLOOKUP(B71,#REF!,18,FALSE)</f>
        <v>#REF!</v>
      </c>
      <c r="O71" s="838">
        <v>30000</v>
      </c>
      <c r="P71" s="838">
        <v>28000</v>
      </c>
      <c r="Q71" s="839">
        <f>VLOOKUP(B71,'[10]zadanky all_011122'!$I$2:$J$79,2,FALSE)</f>
        <v>28556</v>
      </c>
      <c r="R71" s="835">
        <f t="shared" si="5"/>
        <v>1444</v>
      </c>
      <c r="S71" s="835"/>
      <c r="T71" s="840">
        <v>1</v>
      </c>
      <c r="U71" s="835">
        <v>40000</v>
      </c>
      <c r="V71" s="835">
        <v>10000</v>
      </c>
      <c r="W71" s="835">
        <f>VLOOKUP(B71,'[10]zadanky all_011122'!$I$2:$J$72,2,FALSE)</f>
        <v>28556</v>
      </c>
      <c r="X71" s="835">
        <f t="shared" si="11"/>
        <v>-18556</v>
      </c>
      <c r="Y71" s="835" t="e">
        <f t="shared" si="12"/>
        <v>#REF!</v>
      </c>
      <c r="Z71" s="835">
        <f t="shared" si="13"/>
        <v>-18556</v>
      </c>
      <c r="AA71" s="841"/>
      <c r="AB71" s="841"/>
      <c r="AC71" s="841"/>
      <c r="AD71" s="841">
        <v>0</v>
      </c>
      <c r="AE71" s="835" t="s">
        <v>1498</v>
      </c>
      <c r="AF71" s="836" t="s">
        <v>1519</v>
      </c>
      <c r="AG71" s="841">
        <v>0</v>
      </c>
      <c r="AH71" s="835"/>
      <c r="AI71" s="839">
        <v>0</v>
      </c>
      <c r="AJ71" s="835">
        <f t="shared" si="15"/>
        <v>0</v>
      </c>
      <c r="AK71" s="836" t="s">
        <v>1639</v>
      </c>
      <c r="AL71" s="848"/>
    </row>
    <row r="72" spans="1:38">
      <c r="A72" s="783">
        <v>27</v>
      </c>
      <c r="B72" s="783">
        <v>953</v>
      </c>
      <c r="C72" s="783" t="s">
        <v>1576</v>
      </c>
      <c r="D72" s="783" t="s">
        <v>1640</v>
      </c>
      <c r="E72" s="808" t="s">
        <v>1641</v>
      </c>
      <c r="F72" s="817" t="s">
        <v>1519</v>
      </c>
      <c r="G72" s="784" t="s">
        <v>1504</v>
      </c>
      <c r="H72" s="785"/>
      <c r="I72" s="785"/>
      <c r="J72" s="785"/>
      <c r="K72" s="787">
        <f>O72*1.1</f>
        <v>0</v>
      </c>
      <c r="L72" s="788" t="e">
        <f>VLOOKUP(B72,#REF!,13,FALSE)</f>
        <v>#REF!</v>
      </c>
      <c r="M72" s="788">
        <v>0</v>
      </c>
      <c r="N72" s="789" t="e">
        <f>VLOOKUP(B72,#REF!,18,FALSE)</f>
        <v>#REF!</v>
      </c>
      <c r="O72" s="790">
        <v>0</v>
      </c>
      <c r="P72" s="790">
        <f>VLOOKUP(B72,'[11]2024'!$B$5:$AG$71,18,FALSE)</f>
        <v>0</v>
      </c>
      <c r="Q72" s="791">
        <f>VLOOKUP(B72,'[10]zadanky all_011122'!$I$2:$J$79,2,FALSE)</f>
        <v>0</v>
      </c>
      <c r="R72" s="792">
        <f t="shared" si="5"/>
        <v>0</v>
      </c>
      <c r="S72" s="792"/>
      <c r="T72" s="809">
        <v>1</v>
      </c>
      <c r="U72" s="851">
        <v>2838532</v>
      </c>
      <c r="V72" s="852">
        <v>1350000</v>
      </c>
      <c r="W72" s="792">
        <f>VLOOKUP(B72,'[10]zadanky all_011122'!$I$2:$J$72,2,FALSE)</f>
        <v>0</v>
      </c>
      <c r="X72" s="795">
        <f t="shared" si="11"/>
        <v>1350000</v>
      </c>
      <c r="Y72" s="794" t="e">
        <f t="shared" si="12"/>
        <v>#REF!</v>
      </c>
      <c r="Z72" s="794">
        <f t="shared" si="13"/>
        <v>1350000</v>
      </c>
      <c r="AA72" s="796"/>
      <c r="AB72" s="796"/>
      <c r="AC72" s="796"/>
      <c r="AD72" s="796">
        <v>0</v>
      </c>
      <c r="AE72" s="792" t="s">
        <v>1498</v>
      </c>
      <c r="AF72" s="797" t="s">
        <v>1499</v>
      </c>
      <c r="AG72" s="853">
        <v>3000000</v>
      </c>
      <c r="AH72" s="785"/>
      <c r="AI72" s="791">
        <v>161468</v>
      </c>
      <c r="AJ72" s="792">
        <f t="shared" si="15"/>
        <v>2838532</v>
      </c>
      <c r="AK72" s="797"/>
      <c r="AL72" s="848"/>
    </row>
    <row r="73" spans="1:38">
      <c r="A73" s="783">
        <v>44</v>
      </c>
      <c r="B73" s="783">
        <v>954</v>
      </c>
      <c r="C73" s="783" t="s">
        <v>1492</v>
      </c>
      <c r="D73" s="783" t="s">
        <v>1642</v>
      </c>
      <c r="E73" s="854" t="s">
        <v>1643</v>
      </c>
      <c r="F73" s="817" t="s">
        <v>1519</v>
      </c>
      <c r="G73" s="784" t="s">
        <v>1504</v>
      </c>
      <c r="H73" s="785"/>
      <c r="I73" s="785"/>
      <c r="J73" s="785"/>
      <c r="K73" s="787">
        <f>O73*1.1</f>
        <v>0</v>
      </c>
      <c r="L73" s="788" t="e">
        <f>VLOOKUP(B73,#REF!,13,FALSE)</f>
        <v>#REF!</v>
      </c>
      <c r="M73" s="788">
        <v>0</v>
      </c>
      <c r="N73" s="789" t="e">
        <f>VLOOKUP(B73,#REF!,18,FALSE)</f>
        <v>#REF!</v>
      </c>
      <c r="O73" s="790">
        <v>0</v>
      </c>
      <c r="P73" s="790">
        <f>VLOOKUP(B73,'[11]2024'!$B$5:$AG$71,18,FALSE)</f>
        <v>0</v>
      </c>
      <c r="Q73" s="791">
        <f>VLOOKUP(B73,'[10]zadanky all_011122'!$I$2:$J$79,2,FALSE)</f>
        <v>0</v>
      </c>
      <c r="R73" s="792">
        <f t="shared" si="5"/>
        <v>0</v>
      </c>
      <c r="S73" s="792"/>
      <c r="T73" s="809">
        <v>1</v>
      </c>
      <c r="U73" s="792">
        <v>0</v>
      </c>
      <c r="V73" s="794">
        <v>0</v>
      </c>
      <c r="W73" s="792">
        <f>VLOOKUP(B73,'[10]zadanky all_011122'!$I$2:$J$72,2,FALSE)</f>
        <v>0</v>
      </c>
      <c r="X73" s="795">
        <f t="shared" si="11"/>
        <v>0</v>
      </c>
      <c r="Y73" s="794" t="e">
        <f t="shared" si="12"/>
        <v>#REF!</v>
      </c>
      <c r="Z73" s="794">
        <f t="shared" si="13"/>
        <v>0</v>
      </c>
      <c r="AA73" s="796"/>
      <c r="AB73" s="796"/>
      <c r="AC73" s="796"/>
      <c r="AD73" s="796">
        <v>0</v>
      </c>
      <c r="AE73" s="792" t="s">
        <v>1498</v>
      </c>
      <c r="AF73" s="797" t="s">
        <v>1499</v>
      </c>
      <c r="AG73" s="796">
        <v>100000</v>
      </c>
      <c r="AH73" s="785"/>
      <c r="AI73" s="791">
        <v>157300</v>
      </c>
      <c r="AJ73" s="792">
        <f t="shared" si="15"/>
        <v>-57300</v>
      </c>
      <c r="AK73" s="797"/>
      <c r="AL73" s="848"/>
    </row>
    <row r="74" spans="1:38">
      <c r="A74" s="831">
        <v>36</v>
      </c>
      <c r="B74" s="831">
        <v>955</v>
      </c>
      <c r="C74" s="831" t="s">
        <v>1492</v>
      </c>
      <c r="D74" s="831" t="s">
        <v>1567</v>
      </c>
      <c r="E74" s="855" t="s">
        <v>1644</v>
      </c>
      <c r="F74" s="834" t="s">
        <v>1450</v>
      </c>
      <c r="G74" s="834" t="s">
        <v>1504</v>
      </c>
      <c r="H74" s="835" t="s">
        <v>1497</v>
      </c>
      <c r="I74" s="835" t="s">
        <v>1450</v>
      </c>
      <c r="J74" s="836">
        <v>1</v>
      </c>
      <c r="K74" s="837">
        <f>O74*1.1</f>
        <v>33000</v>
      </c>
      <c r="L74" s="837" t="e">
        <f>VLOOKUP(B74,#REF!,13,FALSE)</f>
        <v>#REF!</v>
      </c>
      <c r="M74" s="837">
        <v>0</v>
      </c>
      <c r="N74" s="837" t="e">
        <f>VLOOKUP(B74,#REF!,18,FALSE)</f>
        <v>#REF!</v>
      </c>
      <c r="O74" s="838">
        <v>30000</v>
      </c>
      <c r="P74" s="838">
        <f>VLOOKUP(B74,'[11]2024'!$B$5:$AG$71,18,FALSE)</f>
        <v>0</v>
      </c>
      <c r="Q74" s="839">
        <f>VLOOKUP(B74,'[10]zadanky all_011122'!$I$2:$J$79,2,FALSE)</f>
        <v>0</v>
      </c>
      <c r="R74" s="835">
        <f t="shared" si="5"/>
        <v>30000</v>
      </c>
      <c r="S74" s="835"/>
      <c r="T74" s="840">
        <v>1</v>
      </c>
      <c r="U74" s="835">
        <v>30000</v>
      </c>
      <c r="V74" s="837">
        <v>70000</v>
      </c>
      <c r="W74" s="835">
        <f>VLOOKUP(B74,'[10]zadanky all_011122'!$I$2:$J$72,2,FALSE)</f>
        <v>0</v>
      </c>
      <c r="X74" s="835">
        <f t="shared" si="11"/>
        <v>70000</v>
      </c>
      <c r="Y74" s="835" t="e">
        <f t="shared" si="12"/>
        <v>#REF!</v>
      </c>
      <c r="Z74" s="835">
        <f t="shared" si="13"/>
        <v>70000</v>
      </c>
      <c r="AA74" s="841"/>
      <c r="AB74" s="841"/>
      <c r="AC74" s="841"/>
      <c r="AD74" s="841">
        <v>0</v>
      </c>
      <c r="AE74" s="835" t="s">
        <v>1498</v>
      </c>
      <c r="AF74" s="836" t="s">
        <v>1499</v>
      </c>
      <c r="AG74" s="841">
        <v>70000</v>
      </c>
      <c r="AH74" s="835"/>
      <c r="AI74" s="839">
        <v>0</v>
      </c>
      <c r="AJ74" s="835">
        <f t="shared" si="15"/>
        <v>70000</v>
      </c>
      <c r="AK74" s="836" t="s">
        <v>1645</v>
      </c>
      <c r="AL74" s="848"/>
    </row>
    <row r="75" spans="1:38">
      <c r="A75" s="799">
        <v>50</v>
      </c>
      <c r="B75" s="799">
        <v>956</v>
      </c>
      <c r="C75" s="799"/>
      <c r="D75" s="799"/>
      <c r="E75" s="856" t="s">
        <v>1646</v>
      </c>
      <c r="F75" s="820" t="s">
        <v>1510</v>
      </c>
      <c r="G75" s="820"/>
      <c r="H75" s="801"/>
      <c r="I75" s="801"/>
      <c r="J75" s="801"/>
      <c r="K75" s="802">
        <v>0</v>
      </c>
      <c r="L75" s="788" t="e">
        <f>VLOOKUP(B75,#REF!,13,FALSE)</f>
        <v>#REF!</v>
      </c>
      <c r="M75" s="802">
        <v>0</v>
      </c>
      <c r="N75" s="789" t="e">
        <f>VLOOKUP(B75,#REF!,18,FALSE)</f>
        <v>#REF!</v>
      </c>
      <c r="O75" s="803">
        <v>0</v>
      </c>
      <c r="P75" s="803">
        <v>0</v>
      </c>
      <c r="Q75" s="804">
        <f>VLOOKUP(B75,'[10]zadanky all_011122'!$I$2:$J$79,2,FALSE)</f>
        <v>0</v>
      </c>
      <c r="R75" s="801">
        <f t="shared" si="5"/>
        <v>0</v>
      </c>
      <c r="S75" s="801"/>
      <c r="T75" s="799">
        <v>1</v>
      </c>
      <c r="U75" s="792">
        <v>800000</v>
      </c>
      <c r="V75" s="794">
        <v>500000</v>
      </c>
      <c r="W75" s="792">
        <f>VLOOKUP(B75,'[10]zadanky all_011122'!$I$2:$J$72,2,FALSE)</f>
        <v>0</v>
      </c>
      <c r="X75" s="795">
        <f t="shared" si="11"/>
        <v>500000</v>
      </c>
      <c r="Y75" s="794" t="e">
        <f t="shared" si="12"/>
        <v>#REF!</v>
      </c>
      <c r="Z75" s="794">
        <f t="shared" si="13"/>
        <v>500000</v>
      </c>
      <c r="AA75" s="806"/>
      <c r="AB75" s="806"/>
      <c r="AC75" s="806"/>
      <c r="AD75" s="796">
        <v>0</v>
      </c>
      <c r="AE75" s="796">
        <v>0</v>
      </c>
      <c r="AF75" s="796">
        <v>0</v>
      </c>
      <c r="AG75" s="796">
        <v>0</v>
      </c>
      <c r="AH75" s="801"/>
      <c r="AI75" s="791"/>
      <c r="AJ75" s="792">
        <f t="shared" si="15"/>
        <v>0</v>
      </c>
      <c r="AK75" s="807"/>
      <c r="AL75" s="848"/>
    </row>
    <row r="76" spans="1:38">
      <c r="A76" s="783">
        <v>57</v>
      </c>
      <c r="B76" s="783">
        <v>957</v>
      </c>
      <c r="C76" s="783" t="s">
        <v>1534</v>
      </c>
      <c r="D76" s="783" t="s">
        <v>1517</v>
      </c>
      <c r="E76" s="808" t="s">
        <v>1647</v>
      </c>
      <c r="F76" s="784" t="s">
        <v>1450</v>
      </c>
      <c r="G76" s="784" t="s">
        <v>1504</v>
      </c>
      <c r="H76" s="785" t="s">
        <v>1497</v>
      </c>
      <c r="I76" s="785" t="s">
        <v>1450</v>
      </c>
      <c r="J76" s="786">
        <v>3</v>
      </c>
      <c r="K76" s="787">
        <f>1.1*O76</f>
        <v>165000</v>
      </c>
      <c r="L76" s="788" t="e">
        <f>VLOOKUP(B76,#REF!,13,FALSE)</f>
        <v>#REF!</v>
      </c>
      <c r="M76" s="788">
        <v>0</v>
      </c>
      <c r="N76" s="789" t="e">
        <f>VLOOKUP(B76,#REF!,18,FALSE)</f>
        <v>#REF!</v>
      </c>
      <c r="O76" s="790">
        <v>150000</v>
      </c>
      <c r="P76" s="790">
        <v>0</v>
      </c>
      <c r="Q76" s="791">
        <f>VLOOKUP(B76,'[10]zadanky all_011122'!$I$2:$J$79,2,FALSE)</f>
        <v>0</v>
      </c>
      <c r="R76" s="792">
        <f t="shared" si="5"/>
        <v>150000</v>
      </c>
      <c r="S76" s="792"/>
      <c r="T76" s="822">
        <v>1</v>
      </c>
      <c r="U76" s="792">
        <v>0</v>
      </c>
      <c r="V76" s="794">
        <v>350000</v>
      </c>
      <c r="W76" s="792" t="e">
        <f>VLOOKUP(B76,'[10]zadanky all_011122'!$I$2:$J$72,2,FALSE)</f>
        <v>#N/A</v>
      </c>
      <c r="X76" s="795" t="e">
        <f t="shared" si="11"/>
        <v>#N/A</v>
      </c>
      <c r="Y76" s="794" t="e">
        <f t="shared" si="12"/>
        <v>#REF!</v>
      </c>
      <c r="Z76" s="794" t="e">
        <f t="shared" si="13"/>
        <v>#N/A</v>
      </c>
      <c r="AA76" s="796"/>
      <c r="AB76" s="796"/>
      <c r="AC76" s="796"/>
      <c r="AD76" s="796"/>
      <c r="AE76" s="796"/>
      <c r="AF76" s="796"/>
      <c r="AG76" s="796"/>
      <c r="AH76" s="785"/>
      <c r="AI76" s="791"/>
      <c r="AJ76" s="792"/>
      <c r="AK76" s="797" t="s">
        <v>1648</v>
      </c>
      <c r="AL76" s="848"/>
    </row>
    <row r="77" spans="1:38">
      <c r="A77" s="783"/>
      <c r="B77" s="783">
        <v>112</v>
      </c>
      <c r="C77" s="783" t="s">
        <v>1492</v>
      </c>
      <c r="D77" s="783" t="s">
        <v>1613</v>
      </c>
      <c r="E77" s="808" t="s">
        <v>1649</v>
      </c>
      <c r="F77" s="784" t="s">
        <v>1519</v>
      </c>
      <c r="G77" s="784" t="s">
        <v>1496</v>
      </c>
      <c r="H77" s="785" t="s">
        <v>1497</v>
      </c>
      <c r="I77" s="785" t="s">
        <v>1540</v>
      </c>
      <c r="J77" s="786">
        <v>1</v>
      </c>
      <c r="K77" s="787">
        <f>SUM(O77*1.1)</f>
        <v>660000</v>
      </c>
      <c r="L77" s="788"/>
      <c r="M77" s="788">
        <v>0</v>
      </c>
      <c r="N77" s="789"/>
      <c r="O77" s="790">
        <v>600000</v>
      </c>
      <c r="P77" s="790">
        <v>330000</v>
      </c>
      <c r="Q77" s="791">
        <f>VLOOKUP(B77,'[10]zadanky all_011122'!$I$2:$J$79,2,FALSE)</f>
        <v>239700.56</v>
      </c>
      <c r="R77" s="792">
        <f t="shared" si="5"/>
        <v>360299.44</v>
      </c>
      <c r="S77" s="792"/>
      <c r="T77" s="822"/>
      <c r="U77" s="792"/>
      <c r="V77" s="794"/>
      <c r="W77" s="792"/>
      <c r="X77" s="795"/>
      <c r="Y77" s="794"/>
      <c r="Z77" s="794"/>
      <c r="AA77" s="796"/>
      <c r="AB77" s="796"/>
      <c r="AC77" s="796"/>
      <c r="AD77" s="796"/>
      <c r="AE77" s="796"/>
      <c r="AF77" s="796"/>
      <c r="AG77" s="796"/>
      <c r="AH77" s="785"/>
      <c r="AI77" s="791"/>
      <c r="AJ77" s="792"/>
      <c r="AK77" s="797" t="s">
        <v>1650</v>
      </c>
      <c r="AL77" s="848"/>
    </row>
    <row r="78" spans="1:38">
      <c r="A78" s="783"/>
      <c r="B78" s="783">
        <v>958</v>
      </c>
      <c r="C78" s="783" t="s">
        <v>1534</v>
      </c>
      <c r="D78" s="783" t="s">
        <v>1630</v>
      </c>
      <c r="E78" s="857" t="s">
        <v>1651</v>
      </c>
      <c r="F78" s="817" t="s">
        <v>1519</v>
      </c>
      <c r="G78" s="784" t="s">
        <v>1504</v>
      </c>
      <c r="H78" s="785"/>
      <c r="I78" s="785"/>
      <c r="J78" s="785"/>
      <c r="K78" s="787">
        <v>0</v>
      </c>
      <c r="L78" s="788" t="e">
        <f>VLOOKUP(B78,#REF!,13,FALSE)</f>
        <v>#REF!</v>
      </c>
      <c r="M78" s="788">
        <v>0</v>
      </c>
      <c r="N78" s="789" t="e">
        <f>VLOOKUP(B78,#REF!,18,FALSE)</f>
        <v>#REF!</v>
      </c>
      <c r="O78" s="790">
        <v>0</v>
      </c>
      <c r="P78" s="790">
        <f>VLOOKUP(B78,'[11]2024'!$B$5:$AG$71,18,FALSE)</f>
        <v>0</v>
      </c>
      <c r="Q78" s="791">
        <f>VLOOKUP(B78,'[10]zadanky all_011122'!$I$2:$J$79,2,FALSE)</f>
        <v>0</v>
      </c>
      <c r="R78" s="792">
        <f t="shared" si="5"/>
        <v>0</v>
      </c>
      <c r="S78" s="792"/>
      <c r="T78" s="822"/>
      <c r="U78" s="792"/>
      <c r="V78" s="794"/>
      <c r="W78" s="792"/>
      <c r="X78" s="795"/>
      <c r="Y78" s="794"/>
      <c r="Z78" s="794"/>
      <c r="AA78" s="796"/>
      <c r="AB78" s="796"/>
      <c r="AC78" s="796"/>
      <c r="AD78" s="796"/>
      <c r="AE78" s="796"/>
      <c r="AF78" s="796"/>
      <c r="AG78" s="796"/>
      <c r="AH78" s="785"/>
      <c r="AI78" s="791"/>
      <c r="AJ78" s="792"/>
      <c r="AK78" s="797"/>
      <c r="AL78" s="848"/>
    </row>
    <row r="79" spans="1:38">
      <c r="A79" s="831"/>
      <c r="B79" s="831">
        <v>959</v>
      </c>
      <c r="C79" s="831" t="s">
        <v>1492</v>
      </c>
      <c r="D79" s="831" t="s">
        <v>1567</v>
      </c>
      <c r="E79" s="858" t="s">
        <v>1652</v>
      </c>
      <c r="F79" s="834" t="s">
        <v>1450</v>
      </c>
      <c r="G79" s="834" t="s">
        <v>1504</v>
      </c>
      <c r="H79" s="835" t="s">
        <v>1653</v>
      </c>
      <c r="I79" s="835" t="s">
        <v>1540</v>
      </c>
      <c r="J79" s="836">
        <v>1</v>
      </c>
      <c r="K79" s="837">
        <f>1.1*O79</f>
        <v>110000.00000000001</v>
      </c>
      <c r="L79" s="837"/>
      <c r="M79" s="837">
        <v>0</v>
      </c>
      <c r="N79" s="837"/>
      <c r="O79" s="838">
        <v>100000</v>
      </c>
      <c r="P79" s="838">
        <f>VLOOKUP(B79,'[11]2024'!$B$5:$AG$71,18,FALSE)</f>
        <v>0</v>
      </c>
      <c r="Q79" s="839">
        <f>VLOOKUP(B79,'[10]zadanky all_011122'!$I$2:$J$79,2,FALSE)</f>
        <v>0</v>
      </c>
      <c r="R79" s="835">
        <f t="shared" si="5"/>
        <v>100000</v>
      </c>
      <c r="S79" s="835"/>
      <c r="T79" s="831"/>
      <c r="U79" s="835"/>
      <c r="V79" s="835"/>
      <c r="W79" s="835"/>
      <c r="X79" s="835"/>
      <c r="Y79" s="835"/>
      <c r="Z79" s="835"/>
      <c r="AA79" s="841"/>
      <c r="AB79" s="841"/>
      <c r="AC79" s="841"/>
      <c r="AD79" s="841"/>
      <c r="AE79" s="841"/>
      <c r="AF79" s="841"/>
      <c r="AG79" s="841"/>
      <c r="AH79" s="835"/>
      <c r="AI79" s="839"/>
      <c r="AJ79" s="835"/>
      <c r="AK79" s="836" t="s">
        <v>1654</v>
      </c>
      <c r="AL79" s="848"/>
    </row>
    <row r="80" spans="1:38">
      <c r="A80" s="831"/>
      <c r="B80" s="831">
        <v>961</v>
      </c>
      <c r="C80" s="831" t="s">
        <v>1492</v>
      </c>
      <c r="D80" s="831" t="s">
        <v>1567</v>
      </c>
      <c r="E80" s="855" t="s">
        <v>1655</v>
      </c>
      <c r="F80" s="834" t="s">
        <v>1495</v>
      </c>
      <c r="G80" s="834" t="s">
        <v>1504</v>
      </c>
      <c r="H80" s="835" t="s">
        <v>1653</v>
      </c>
      <c r="I80" s="835" t="s">
        <v>1540</v>
      </c>
      <c r="J80" s="836">
        <v>1</v>
      </c>
      <c r="K80" s="837">
        <f>1.1*O80</f>
        <v>0</v>
      </c>
      <c r="L80" s="837"/>
      <c r="M80" s="837">
        <v>0</v>
      </c>
      <c r="N80" s="837"/>
      <c r="O80" s="838">
        <v>0</v>
      </c>
      <c r="P80" s="838">
        <v>70000</v>
      </c>
      <c r="Q80" s="839">
        <f>VLOOKUP(B80,'[10]zadanky all_011122'!$I$2:$J$79,2,FALSE)</f>
        <v>60500</v>
      </c>
      <c r="R80" s="835">
        <f t="shared" si="5"/>
        <v>-60500</v>
      </c>
      <c r="S80" s="835"/>
      <c r="T80" s="831"/>
      <c r="U80" s="835"/>
      <c r="V80" s="835"/>
      <c r="W80" s="835"/>
      <c r="X80" s="835"/>
      <c r="Y80" s="835"/>
      <c r="Z80" s="835"/>
      <c r="AA80" s="841"/>
      <c r="AB80" s="841"/>
      <c r="AC80" s="841"/>
      <c r="AD80" s="841"/>
      <c r="AE80" s="841"/>
      <c r="AF80" s="841"/>
      <c r="AG80" s="841"/>
      <c r="AH80" s="835"/>
      <c r="AI80" s="839"/>
      <c r="AJ80" s="835"/>
      <c r="AK80" s="836" t="s">
        <v>1654</v>
      </c>
      <c r="AL80" s="848"/>
    </row>
    <row r="81" spans="1:38">
      <c r="A81" s="831"/>
      <c r="B81" s="831">
        <v>970</v>
      </c>
      <c r="C81" s="831"/>
      <c r="D81" s="831" t="s">
        <v>1567</v>
      </c>
      <c r="E81" s="855" t="s">
        <v>1656</v>
      </c>
      <c r="F81" s="834" t="s">
        <v>1450</v>
      </c>
      <c r="G81" s="834" t="s">
        <v>1504</v>
      </c>
      <c r="H81" s="835" t="s">
        <v>1657</v>
      </c>
      <c r="I81" s="835" t="s">
        <v>1540</v>
      </c>
      <c r="J81" s="835"/>
      <c r="K81" s="837">
        <f>1.1*O81</f>
        <v>0</v>
      </c>
      <c r="L81" s="837"/>
      <c r="M81" s="837">
        <v>0</v>
      </c>
      <c r="N81" s="837"/>
      <c r="O81" s="838">
        <v>0</v>
      </c>
      <c r="P81" s="838">
        <v>0</v>
      </c>
      <c r="Q81" s="839">
        <f>VLOOKUP(B81,'[10]zadanky all_011122'!$I$2:$J$79,2,FALSE)</f>
        <v>0</v>
      </c>
      <c r="R81" s="835">
        <f t="shared" si="5"/>
        <v>0</v>
      </c>
      <c r="S81" s="835"/>
      <c r="T81" s="831"/>
      <c r="U81" s="835"/>
      <c r="V81" s="835"/>
      <c r="W81" s="835"/>
      <c r="X81" s="835"/>
      <c r="Y81" s="835"/>
      <c r="Z81" s="835"/>
      <c r="AA81" s="841"/>
      <c r="AB81" s="841"/>
      <c r="AC81" s="841"/>
      <c r="AD81" s="841"/>
      <c r="AE81" s="841"/>
      <c r="AF81" s="841"/>
      <c r="AG81" s="841"/>
      <c r="AH81" s="835"/>
      <c r="AI81" s="839"/>
      <c r="AJ81" s="835"/>
      <c r="AK81" s="836" t="s">
        <v>1654</v>
      </c>
      <c r="AL81" s="848"/>
    </row>
    <row r="82" spans="1:38">
      <c r="A82" s="831"/>
      <c r="B82" s="831">
        <v>980</v>
      </c>
      <c r="C82" s="831"/>
      <c r="D82" s="831" t="s">
        <v>1567</v>
      </c>
      <c r="E82" s="855" t="s">
        <v>1658</v>
      </c>
      <c r="F82" s="834" t="s">
        <v>1450</v>
      </c>
      <c r="G82" s="834" t="s">
        <v>1504</v>
      </c>
      <c r="H82" s="835" t="s">
        <v>1657</v>
      </c>
      <c r="I82" s="835" t="s">
        <v>1540</v>
      </c>
      <c r="J82" s="835"/>
      <c r="K82" s="837">
        <f>1.1*O82</f>
        <v>1100000</v>
      </c>
      <c r="L82" s="837"/>
      <c r="M82" s="837">
        <v>0</v>
      </c>
      <c r="N82" s="837"/>
      <c r="O82" s="838">
        <v>1000000</v>
      </c>
      <c r="P82" s="838">
        <v>0</v>
      </c>
      <c r="Q82" s="839">
        <f>VLOOKUP(B82,'[10]zadanky all_011122'!$I$2:$J$79,2,FALSE)</f>
        <v>0</v>
      </c>
      <c r="R82" s="835">
        <f t="shared" si="5"/>
        <v>1000000</v>
      </c>
      <c r="S82" s="835"/>
      <c r="T82" s="831"/>
      <c r="U82" s="835"/>
      <c r="V82" s="835"/>
      <c r="W82" s="835"/>
      <c r="X82" s="835"/>
      <c r="Y82" s="835"/>
      <c r="Z82" s="835"/>
      <c r="AA82" s="841"/>
      <c r="AB82" s="841"/>
      <c r="AC82" s="841"/>
      <c r="AD82" s="841"/>
      <c r="AE82" s="841"/>
      <c r="AF82" s="841"/>
      <c r="AG82" s="841"/>
      <c r="AH82" s="835"/>
      <c r="AI82" s="839"/>
      <c r="AJ82" s="835"/>
      <c r="AK82" s="836" t="s">
        <v>1654</v>
      </c>
      <c r="AL82" s="848"/>
    </row>
    <row r="83" spans="1:38">
      <c r="A83" s="831"/>
      <c r="B83" s="831">
        <v>990</v>
      </c>
      <c r="C83" s="831"/>
      <c r="D83" s="831" t="s">
        <v>1567</v>
      </c>
      <c r="E83" s="855" t="s">
        <v>1659</v>
      </c>
      <c r="F83" s="834" t="s">
        <v>1450</v>
      </c>
      <c r="G83" s="834" t="s">
        <v>1504</v>
      </c>
      <c r="H83" s="835" t="s">
        <v>1657</v>
      </c>
      <c r="I83" s="835" t="s">
        <v>1540</v>
      </c>
      <c r="J83" s="835"/>
      <c r="K83" s="837" t="e">
        <f>1.1*O83</f>
        <v>#VALUE!</v>
      </c>
      <c r="L83" s="837"/>
      <c r="M83" s="837">
        <v>0</v>
      </c>
      <c r="N83" s="837"/>
      <c r="O83" s="838" t="e">
        <f>SUMIFS([10]projekty!$O$5:$O$25,[10]projekty!$B$5:$B$25,B83)</f>
        <v>#VALUE!</v>
      </c>
      <c r="P83" s="838">
        <v>0</v>
      </c>
      <c r="Q83" s="839">
        <f>VLOOKUP(B83,'[10]zadanky all_011122'!$I$2:$J$79,2,FALSE)</f>
        <v>0</v>
      </c>
      <c r="R83" s="835" t="e">
        <f t="shared" si="5"/>
        <v>#VALUE!</v>
      </c>
      <c r="S83" s="835"/>
      <c r="T83" s="831"/>
      <c r="U83" s="835"/>
      <c r="V83" s="835"/>
      <c r="W83" s="835"/>
      <c r="X83" s="835"/>
      <c r="Y83" s="835"/>
      <c r="Z83" s="835"/>
      <c r="AA83" s="841"/>
      <c r="AB83" s="841"/>
      <c r="AC83" s="841"/>
      <c r="AD83" s="841"/>
      <c r="AE83" s="841"/>
      <c r="AF83" s="841"/>
      <c r="AG83" s="841"/>
      <c r="AH83" s="835"/>
      <c r="AI83" s="839"/>
      <c r="AJ83" s="835"/>
      <c r="AK83" s="836" t="s">
        <v>1654</v>
      </c>
      <c r="AL83" s="848"/>
    </row>
    <row r="84" spans="1:38">
      <c r="A84" s="783"/>
      <c r="B84" s="783"/>
      <c r="C84" s="783"/>
      <c r="D84" s="783"/>
      <c r="E84" s="859" t="s">
        <v>1660</v>
      </c>
      <c r="F84" s="859"/>
      <c r="G84" s="859"/>
      <c r="H84" s="860"/>
      <c r="I84" s="860"/>
      <c r="J84" s="860"/>
      <c r="K84" s="860"/>
      <c r="L84" s="860"/>
      <c r="M84" s="860"/>
      <c r="N84" s="860"/>
      <c r="O84" s="860"/>
      <c r="P84" s="860"/>
      <c r="Q84" s="860"/>
      <c r="R84" s="860"/>
      <c r="S84" s="860"/>
      <c r="T84" s="861"/>
      <c r="U84" s="860"/>
      <c r="V84" s="860"/>
      <c r="W84" s="792"/>
      <c r="X84" s="792"/>
      <c r="Y84" s="794"/>
      <c r="Z84" s="794"/>
      <c r="AA84" s="796"/>
      <c r="AB84" s="796"/>
      <c r="AC84" s="796"/>
      <c r="AD84" s="796"/>
      <c r="AE84" s="796"/>
      <c r="AF84" s="796"/>
      <c r="AG84" s="796"/>
      <c r="AH84" s="785"/>
      <c r="AI84" s="791"/>
      <c r="AJ84" s="792"/>
      <c r="AK84" s="797"/>
      <c r="AL84" s="848"/>
    </row>
    <row r="85" spans="1:38">
      <c r="A85" s="783"/>
      <c r="B85" s="783"/>
      <c r="C85" s="783"/>
      <c r="D85" s="783"/>
      <c r="E85" s="859" t="s">
        <v>1661</v>
      </c>
      <c r="F85" s="859"/>
      <c r="G85" s="859"/>
      <c r="H85" s="860"/>
      <c r="I85" s="860"/>
      <c r="J85" s="860"/>
      <c r="K85" s="860"/>
      <c r="L85" s="860"/>
      <c r="M85" s="860"/>
      <c r="N85" s="860"/>
      <c r="O85" s="860"/>
      <c r="P85" s="860"/>
      <c r="Q85" s="860"/>
      <c r="R85" s="860"/>
      <c r="S85" s="860"/>
      <c r="T85" s="861"/>
      <c r="U85" s="860"/>
      <c r="V85" s="860"/>
      <c r="W85" s="792"/>
      <c r="X85" s="792"/>
      <c r="Y85" s="794"/>
      <c r="Z85" s="794"/>
      <c r="AA85" s="796"/>
      <c r="AB85" s="796"/>
      <c r="AC85" s="796"/>
      <c r="AD85" s="796"/>
      <c r="AE85" s="796"/>
      <c r="AF85" s="796"/>
      <c r="AG85" s="796"/>
      <c r="AH85" s="785"/>
      <c r="AI85" s="791"/>
      <c r="AJ85" s="792"/>
      <c r="AK85" s="797"/>
      <c r="AL85" s="848"/>
    </row>
    <row r="86" spans="1:38">
      <c r="A86" s="783"/>
      <c r="B86" s="783"/>
      <c r="C86" s="783"/>
      <c r="D86" s="783"/>
      <c r="E86" s="862"/>
      <c r="F86" s="862"/>
      <c r="G86" s="862"/>
      <c r="H86" s="862"/>
      <c r="I86" s="862"/>
      <c r="J86" s="862"/>
      <c r="K86" s="792" t="e">
        <f>SUM(K5:K83)</f>
        <v>#VALUE!</v>
      </c>
      <c r="L86" s="792" t="e">
        <f>SUM(L7:L82)</f>
        <v>#REF!</v>
      </c>
      <c r="M86" s="792"/>
      <c r="N86" s="792"/>
      <c r="O86" s="792" t="e">
        <f>SUM(O5:O83)</f>
        <v>#VALUE!</v>
      </c>
      <c r="P86" s="792">
        <f>SUM(P5:P85)</f>
        <v>10097930.060000001</v>
      </c>
      <c r="Q86" s="792">
        <f>SUM(Q7:Q82)</f>
        <v>7681287.2661999986</v>
      </c>
      <c r="R86" s="863" t="e">
        <f>SUM(R5:R83)</f>
        <v>#VALUE!</v>
      </c>
      <c r="S86" s="863"/>
      <c r="T86" s="783">
        <v>1</v>
      </c>
      <c r="U86" s="792">
        <f>SUM(U5:U82)</f>
        <v>16426038.960000001</v>
      </c>
      <c r="V86" s="792">
        <f>SUM(V7:V82)</f>
        <v>11342300</v>
      </c>
      <c r="W86" s="792" t="e">
        <f>SUM(W5:W82)</f>
        <v>#N/A</v>
      </c>
      <c r="X86" s="792"/>
      <c r="Y86" s="792" t="e">
        <f>SUM(Y7:Y82)</f>
        <v>#REF!</v>
      </c>
      <c r="Z86" s="792" t="e">
        <f>SUM(Z7:Z82)</f>
        <v>#N/A</v>
      </c>
      <c r="AA86" s="796"/>
      <c r="AB86" s="796"/>
      <c r="AC86" s="796"/>
      <c r="AD86" s="796"/>
      <c r="AE86" s="796"/>
      <c r="AF86" s="796"/>
      <c r="AG86" s="796"/>
      <c r="AH86" s="792"/>
      <c r="AI86" s="791"/>
      <c r="AJ86" s="797"/>
      <c r="AK86" s="797"/>
      <c r="AL86" s="848"/>
    </row>
    <row r="87" spans="1:38">
      <c r="A87" s="864"/>
      <c r="B87" s="864"/>
      <c r="C87" s="864"/>
      <c r="D87" s="864"/>
      <c r="K87" s="865"/>
      <c r="L87" s="865" t="e">
        <f>SUBTOTAL(9,L18:L82)</f>
        <v>#REF!</v>
      </c>
      <c r="M87" s="865"/>
      <c r="N87" s="865"/>
      <c r="O87" s="865"/>
      <c r="P87" s="865"/>
      <c r="Q87" s="865">
        <f>SUBTOTAL(9,Q18:Q82)</f>
        <v>4558444.0699999994</v>
      </c>
      <c r="R87" s="865">
        <f>SUBTOTAL(9,R18:R82)</f>
        <v>3574403.93</v>
      </c>
      <c r="S87" s="865"/>
      <c r="T87" s="866">
        <v>1</v>
      </c>
      <c r="U87" s="865">
        <f>SUBTOTAL(9,U18:U82)</f>
        <v>13234732</v>
      </c>
      <c r="V87" s="865">
        <f>SUBTOTAL(9,V18:V82)</f>
        <v>8970724</v>
      </c>
      <c r="W87" s="865">
        <f>SUBTOTAL(9,W18:W68)</f>
        <v>4229687.51</v>
      </c>
      <c r="X87" s="865"/>
      <c r="Y87" s="865" t="e">
        <f>SUBTOTAL(9,Y18:Y68)</f>
        <v>#REF!</v>
      </c>
      <c r="Z87" s="865">
        <f>SUBTOTAL(9,Z18:Z68)</f>
        <v>2406036.4899999998</v>
      </c>
      <c r="AA87" s="867"/>
      <c r="AB87" s="867"/>
      <c r="AC87" s="867"/>
      <c r="AD87" s="867"/>
      <c r="AE87" s="867"/>
      <c r="AF87" s="867"/>
      <c r="AG87" s="867"/>
      <c r="AH87" s="865"/>
      <c r="AI87" s="868"/>
      <c r="AJ87" s="757"/>
      <c r="AK87" s="757"/>
    </row>
    <row r="88" spans="1:38" ht="15" thickBot="1">
      <c r="A88" s="864"/>
      <c r="B88" s="864"/>
      <c r="C88" s="864"/>
      <c r="D88" s="864"/>
      <c r="K88" s="865"/>
      <c r="L88" s="865"/>
      <c r="M88" s="865"/>
      <c r="N88" s="865"/>
      <c r="O88" s="865"/>
      <c r="P88" s="865"/>
      <c r="Q88" s="865"/>
      <c r="R88" s="865"/>
      <c r="S88" s="865"/>
      <c r="T88" s="865"/>
      <c r="U88" s="865">
        <f>SUBTOTAL(9,U57:U82)</f>
        <v>5404732</v>
      </c>
      <c r="V88" s="865"/>
      <c r="W88" s="865"/>
      <c r="X88" s="865"/>
      <c r="Y88" s="865"/>
      <c r="Z88" s="865"/>
      <c r="AA88" s="867"/>
      <c r="AB88" s="867"/>
      <c r="AC88" s="867"/>
      <c r="AD88" s="867"/>
      <c r="AE88" s="867"/>
      <c r="AF88" s="867"/>
      <c r="AG88" s="867"/>
      <c r="AH88" s="865"/>
      <c r="AI88" s="868"/>
      <c r="AJ88" s="757"/>
      <c r="AK88" s="757"/>
    </row>
    <row r="89" spans="1:38">
      <c r="A89" s="864"/>
      <c r="B89" s="864"/>
      <c r="C89" s="864"/>
      <c r="D89" s="864"/>
      <c r="E89" s="869" t="s">
        <v>1662</v>
      </c>
      <c r="K89" s="865"/>
      <c r="L89" s="865" t="e">
        <f>SUBTOTAL(9,L18:L54)</f>
        <v>#REF!</v>
      </c>
      <c r="M89" s="865"/>
      <c r="N89" s="865"/>
      <c r="O89" s="865"/>
      <c r="P89" s="865"/>
      <c r="Q89" s="865" t="e">
        <f>L89-Q87</f>
        <v>#REF!</v>
      </c>
      <c r="R89" s="865">
        <f>SUBTOTAL(9,Q18:Q54)</f>
        <v>2021369.5100000002</v>
      </c>
      <c r="S89" s="865"/>
      <c r="T89" s="865"/>
      <c r="U89" s="865">
        <f>U87-U88</f>
        <v>7830000</v>
      </c>
      <c r="V89" s="865"/>
      <c r="W89" s="865"/>
      <c r="X89" s="865"/>
      <c r="Y89" s="865"/>
      <c r="Z89" s="865"/>
      <c r="AA89" s="867"/>
      <c r="AB89" s="867"/>
      <c r="AC89" s="867"/>
      <c r="AD89" s="867"/>
      <c r="AE89" s="867"/>
      <c r="AF89" s="867"/>
      <c r="AG89" s="867"/>
      <c r="AH89" s="865"/>
      <c r="AI89" s="868"/>
      <c r="AJ89" s="757"/>
      <c r="AK89" s="757"/>
    </row>
    <row r="90" spans="1:38">
      <c r="E90" s="870" t="s">
        <v>1663</v>
      </c>
      <c r="F90" s="865"/>
      <c r="G90" s="865"/>
      <c r="H90" s="865"/>
      <c r="I90" s="865"/>
      <c r="J90" s="865"/>
      <c r="K90" s="865"/>
      <c r="L90" s="865"/>
      <c r="M90" s="865"/>
      <c r="N90" s="865"/>
      <c r="O90" s="865"/>
      <c r="P90" s="865"/>
      <c r="Q90" s="865" t="e">
        <f>L90+Q89</f>
        <v>#REF!</v>
      </c>
      <c r="R90" s="871" t="e">
        <f>R89/L89</f>
        <v>#REF!</v>
      </c>
      <c r="S90" s="871"/>
      <c r="T90" s="865"/>
      <c r="U90" s="865">
        <f>SUBTOTAL(9,U59:U68)</f>
        <v>596200</v>
      </c>
      <c r="V90" s="865"/>
      <c r="W90" s="865"/>
      <c r="X90" s="865"/>
      <c r="Y90" s="865"/>
      <c r="Z90" s="867"/>
      <c r="AA90" s="867"/>
      <c r="AB90" s="867"/>
      <c r="AC90" s="867"/>
      <c r="AD90" s="867"/>
      <c r="AE90" s="867"/>
      <c r="AF90" s="865"/>
      <c r="AG90" s="865"/>
      <c r="AH90" s="867"/>
      <c r="AI90" s="757"/>
      <c r="AJ90">
        <v>0</v>
      </c>
    </row>
    <row r="91" spans="1:38">
      <c r="E91" s="870" t="s">
        <v>1664</v>
      </c>
      <c r="F91" s="865"/>
      <c r="G91" s="865"/>
      <c r="H91" s="865"/>
      <c r="I91" s="865"/>
      <c r="J91" s="865"/>
      <c r="K91" s="865"/>
      <c r="L91" s="865"/>
      <c r="M91" s="865"/>
      <c r="N91" s="865"/>
      <c r="O91" s="865"/>
      <c r="P91" s="865"/>
      <c r="Q91" s="865"/>
      <c r="R91" s="871"/>
      <c r="S91" s="871"/>
      <c r="T91" s="865"/>
      <c r="U91" s="865"/>
      <c r="V91" s="865"/>
      <c r="W91" s="865"/>
      <c r="X91" s="865"/>
      <c r="Y91" s="865"/>
      <c r="Z91" s="867"/>
      <c r="AA91" s="867"/>
      <c r="AB91" s="867"/>
      <c r="AC91" s="867"/>
      <c r="AD91" s="867"/>
      <c r="AE91" s="867"/>
      <c r="AF91" s="865"/>
      <c r="AG91" s="865"/>
      <c r="AH91" s="867"/>
      <c r="AI91" s="757"/>
    </row>
    <row r="92" spans="1:38">
      <c r="E92" s="870" t="s">
        <v>1665</v>
      </c>
      <c r="F92" s="865"/>
      <c r="G92" s="865"/>
      <c r="H92" s="865"/>
      <c r="I92" s="865"/>
      <c r="J92" s="865"/>
      <c r="K92" s="865"/>
      <c r="L92" s="865"/>
      <c r="M92" s="865"/>
      <c r="N92" s="865"/>
      <c r="O92" s="865"/>
      <c r="P92" s="865"/>
      <c r="Q92" s="865"/>
      <c r="R92" s="871"/>
      <c r="S92" s="871"/>
      <c r="T92" s="865"/>
      <c r="U92" s="865"/>
      <c r="V92" s="865"/>
      <c r="W92" s="865"/>
      <c r="X92" s="865"/>
      <c r="Y92" s="865"/>
      <c r="Z92" s="867"/>
      <c r="AA92" s="867"/>
      <c r="AB92" s="867"/>
      <c r="AC92" s="867"/>
      <c r="AD92" s="867"/>
      <c r="AE92" s="867"/>
      <c r="AF92" s="865"/>
      <c r="AG92" s="865"/>
      <c r="AH92" s="867"/>
      <c r="AI92" s="757"/>
    </row>
    <row r="93" spans="1:38">
      <c r="E93" s="870" t="s">
        <v>1666</v>
      </c>
      <c r="F93" s="865"/>
      <c r="G93" s="865"/>
      <c r="H93" s="865"/>
      <c r="I93" s="865"/>
      <c r="J93" s="865"/>
      <c r="K93" s="865"/>
      <c r="L93" s="865"/>
      <c r="M93" s="865"/>
      <c r="N93" s="865"/>
      <c r="O93" s="865"/>
      <c r="P93" s="865"/>
      <c r="Q93" s="865"/>
      <c r="R93" s="871"/>
      <c r="S93" s="871"/>
      <c r="T93" s="865"/>
      <c r="U93" s="865"/>
      <c r="V93" s="865"/>
      <c r="W93" s="865"/>
      <c r="X93" s="865"/>
      <c r="Y93" s="865"/>
      <c r="Z93" s="867"/>
      <c r="AA93" s="867"/>
      <c r="AB93" s="867"/>
      <c r="AC93" s="867"/>
      <c r="AD93" s="867"/>
      <c r="AE93" s="867"/>
      <c r="AF93" s="865"/>
      <c r="AG93" s="865"/>
      <c r="AH93" s="867"/>
      <c r="AI93" s="757"/>
    </row>
    <row r="94" spans="1:38" ht="15" thickBot="1">
      <c r="E94" s="872" t="s">
        <v>1667</v>
      </c>
      <c r="F94" s="757"/>
      <c r="G94" s="757"/>
      <c r="H94" s="757"/>
      <c r="I94" s="757"/>
      <c r="J94" s="757"/>
      <c r="Q94" s="865"/>
      <c r="Y94"/>
      <c r="Z94"/>
      <c r="AB94" s="757"/>
      <c r="AC94" s="757"/>
      <c r="AD94" s="757"/>
      <c r="AE94" s="757"/>
      <c r="AF94" s="757"/>
      <c r="AG94" s="757"/>
      <c r="AH94"/>
    </row>
    <row r="95" spans="1:38" ht="15" thickBot="1">
      <c r="F95" s="757"/>
      <c r="G95" s="757"/>
      <c r="H95" s="757"/>
      <c r="I95" s="757"/>
      <c r="J95" s="757"/>
      <c r="Q95" s="865"/>
      <c r="U95" s="757">
        <f>SUBTOTAL(9,U57:U68)</f>
        <v>1596200</v>
      </c>
      <c r="Y95"/>
      <c r="Z95"/>
      <c r="AB95" s="757"/>
      <c r="AC95" s="757"/>
      <c r="AD95" s="757"/>
      <c r="AE95" s="757"/>
      <c r="AF95" s="757"/>
      <c r="AG95" s="757"/>
      <c r="AH95"/>
    </row>
    <row r="96" spans="1:38" ht="15" thickBot="1">
      <c r="E96" s="873" t="s">
        <v>1668</v>
      </c>
      <c r="F96" s="757"/>
      <c r="G96" s="757"/>
      <c r="H96" s="757"/>
      <c r="I96" s="757"/>
      <c r="J96" s="757"/>
      <c r="Q96" s="865"/>
      <c r="Y96"/>
      <c r="Z96"/>
      <c r="AB96" s="757"/>
      <c r="AC96" s="757"/>
      <c r="AD96" s="757"/>
      <c r="AE96" s="757"/>
      <c r="AF96" s="757"/>
      <c r="AG96" s="757"/>
      <c r="AH96"/>
    </row>
    <row r="97" spans="5:34">
      <c r="E97" s="874" t="s">
        <v>1669</v>
      </c>
      <c r="F97" s="757"/>
      <c r="G97" s="757"/>
      <c r="H97" s="757"/>
      <c r="I97" s="757"/>
      <c r="J97" s="757"/>
      <c r="Y97"/>
      <c r="Z97"/>
      <c r="AB97" s="757"/>
      <c r="AC97" s="757"/>
      <c r="AD97" s="757"/>
      <c r="AE97" s="757"/>
      <c r="AF97" s="757"/>
      <c r="AG97" s="757"/>
      <c r="AH97"/>
    </row>
    <row r="98" spans="5:34">
      <c r="E98" s="875" t="s">
        <v>1670</v>
      </c>
      <c r="F98" s="757"/>
      <c r="G98" s="757"/>
      <c r="H98" s="757"/>
      <c r="I98" s="757"/>
      <c r="J98" s="757"/>
      <c r="Q98" s="865"/>
      <c r="Y98"/>
      <c r="Z98"/>
      <c r="AB98" s="757"/>
      <c r="AC98" s="757"/>
      <c r="AD98" s="757"/>
      <c r="AE98" s="757"/>
      <c r="AF98" s="757"/>
      <c r="AG98" s="757"/>
      <c r="AH98"/>
    </row>
    <row r="99" spans="5:34">
      <c r="E99" s="876" t="s">
        <v>1671</v>
      </c>
      <c r="F99" s="757"/>
      <c r="G99" s="757"/>
      <c r="H99" s="757"/>
      <c r="I99" s="757"/>
      <c r="J99" s="757"/>
      <c r="Y99"/>
      <c r="Z99"/>
      <c r="AB99" s="757"/>
      <c r="AC99" s="757"/>
      <c r="AD99" s="757"/>
      <c r="AE99" s="757"/>
      <c r="AF99" s="757"/>
      <c r="AG99" s="757"/>
      <c r="AH99"/>
    </row>
    <row r="100" spans="5:34">
      <c r="E100" s="877" t="s">
        <v>1672</v>
      </c>
      <c r="F100" s="757"/>
      <c r="G100" s="757"/>
      <c r="H100" s="757"/>
      <c r="I100" s="757"/>
      <c r="J100" s="757"/>
      <c r="Y100"/>
      <c r="Z100"/>
      <c r="AB100" s="757"/>
      <c r="AC100" s="757"/>
      <c r="AD100" s="757"/>
      <c r="AE100" s="757"/>
      <c r="AF100" s="757"/>
      <c r="AG100" s="757"/>
      <c r="AH100"/>
    </row>
    <row r="101" spans="5:34">
      <c r="E101" s="878" t="s">
        <v>1483</v>
      </c>
      <c r="F101" s="757"/>
      <c r="G101" s="757"/>
      <c r="H101" s="757"/>
      <c r="I101" s="757"/>
      <c r="J101" s="757"/>
      <c r="Y101"/>
      <c r="Z101"/>
      <c r="AB101" s="757"/>
      <c r="AC101" s="757"/>
      <c r="AD101" s="757"/>
      <c r="AE101" s="757"/>
      <c r="AF101" s="757"/>
      <c r="AG101" s="757"/>
      <c r="AH101"/>
    </row>
    <row r="102" spans="5:34">
      <c r="E102" s="879" t="s">
        <v>1673</v>
      </c>
      <c r="F102" s="757"/>
      <c r="G102" s="757"/>
      <c r="H102" s="757"/>
      <c r="I102" s="757"/>
      <c r="J102" s="757"/>
      <c r="Y102"/>
      <c r="Z102"/>
      <c r="AB102" s="757"/>
      <c r="AC102" s="757"/>
      <c r="AD102" s="757"/>
      <c r="AE102" s="757"/>
      <c r="AF102" s="757"/>
      <c r="AG102" s="757"/>
      <c r="AH102"/>
    </row>
    <row r="103" spans="5:34">
      <c r="E103" s="880" t="s">
        <v>1674</v>
      </c>
      <c r="F103" s="757"/>
      <c r="G103" s="757"/>
      <c r="H103" s="757"/>
      <c r="I103" s="757"/>
      <c r="J103" s="757"/>
      <c r="Y103"/>
      <c r="Z103"/>
      <c r="AB103" s="757"/>
      <c r="AC103" s="757"/>
      <c r="AD103" s="757"/>
      <c r="AE103" s="757"/>
      <c r="AF103" s="757"/>
      <c r="AG103" s="757"/>
      <c r="AH103"/>
    </row>
    <row r="104" spans="5:34">
      <c r="E104" s="881" t="s">
        <v>1675</v>
      </c>
      <c r="F104" s="757"/>
      <c r="G104" s="757"/>
      <c r="H104" s="757"/>
      <c r="I104" s="757"/>
      <c r="J104" s="757"/>
      <c r="Y104"/>
      <c r="Z104"/>
      <c r="AH104"/>
    </row>
    <row r="105" spans="5:34" ht="15" thickBot="1">
      <c r="E105" s="882" t="s">
        <v>1676</v>
      </c>
      <c r="F105" s="757"/>
      <c r="G105" s="757"/>
      <c r="H105" s="757"/>
      <c r="I105" s="757"/>
      <c r="J105" s="757"/>
      <c r="Y105"/>
      <c r="Z105"/>
      <c r="AH105"/>
    </row>
    <row r="106" spans="5:34">
      <c r="G106" s="757"/>
      <c r="H106" s="757"/>
      <c r="I106" s="757"/>
      <c r="J106" s="757"/>
      <c r="AH106"/>
    </row>
    <row r="107" spans="5:34">
      <c r="G107" s="757"/>
      <c r="H107" s="757"/>
      <c r="I107" s="757"/>
      <c r="J107" s="757"/>
      <c r="AH107"/>
    </row>
  </sheetData>
  <conditionalFormatting sqref="X5:X83">
    <cfRule type="cellIs" dxfId="1" priority="1" operator="lessThan">
      <formula>0</formula>
    </cfRule>
  </conditionalFormatting>
  <conditionalFormatting sqref="AJ5:AJ85">
    <cfRule type="cellIs" dxfId="0" priority="4" operator="lessThan">
      <formula>0</formula>
    </cfRule>
  </conditionalFormatting>
  <dataValidations count="2">
    <dataValidation type="list" allowBlank="1" showInputMessage="1" showErrorMessage="1" sqref="B84:B85 C5:D85" xr:uid="{E4927548-FE43-42F7-9C96-E73424C5F311}"/>
    <dataValidation type="list" allowBlank="1" showInputMessage="1" showErrorMessage="1" sqref="G5:G85" xr:uid="{A65AFCA4-F486-4483-BE05-C38C66897C11}">
      <formula1>"Mandatorní,Rozvojový"</formula1>
    </dataValidation>
  </dataValidations>
  <pageMargins left="0.7" right="0.7" top="0.78740157499999996" bottom="0.78740157499999996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7944A2EB-DF7E-44C9-BBC5-DF5BA69C612C}">
            <xm:f>NOT(ISERROR(SEARCH("-",K1)))</xm:f>
            <xm:f>"-"</xm:f>
            <x14:dxf>
              <font>
                <color rgb="FF9C0006"/>
              </font>
            </x14:dxf>
          </x14:cfRule>
          <xm:sqref>R1:S20 Y1:Z86 S21:S23 R24:S86 R88:S89 Y88:Z89 L90:P93 W90:X93 K94:K105 V94:X105 Q106:Q107 Y106:Y107 R108:S1048576 Y108:Z1048576</xm:sqref>
        </x14:conditionalFormatting>
        <x14:conditionalFormatting xmlns:xm="http://schemas.microsoft.com/office/excel/2006/main">
          <x14:cfRule type="containsText" priority="2" operator="containsText" id="{72D7CA44-2C1E-4CDB-8F8F-43E4004A475D}">
            <xm:f>NOT(ISERROR(SEARCH("-",U86)))</xm:f>
            <xm:f>"-"</xm:f>
            <x14:dxf>
              <font>
                <color rgb="FF9C0006"/>
              </font>
            </x14:dxf>
          </x14:cfRule>
          <xm:sqref>U86:X86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C2C0-5656-4FB0-99DD-BE9EF45D679D}">
  <dimension ref="C2:O18"/>
  <sheetViews>
    <sheetView topLeftCell="B1" workbookViewId="0">
      <selection activeCell="J11" sqref="J11:J12"/>
    </sheetView>
  </sheetViews>
  <sheetFormatPr defaultColWidth="9.109375" defaultRowHeight="14.4"/>
  <cols>
    <col min="1" max="1" width="9.109375" style="307"/>
    <col min="2" max="2" width="9.109375" style="307" customWidth="1"/>
    <col min="3" max="3" width="25" style="307" bestFit="1" customWidth="1"/>
    <col min="4" max="6" width="10.88671875" style="307" bestFit="1" customWidth="1"/>
    <col min="7" max="8" width="11.5546875" style="307" bestFit="1" customWidth="1"/>
    <col min="9" max="9" width="10.5546875" style="307" bestFit="1" customWidth="1"/>
    <col min="10" max="11" width="9.109375" style="307"/>
    <col min="12" max="12" width="24.44140625" style="307" bestFit="1" customWidth="1"/>
    <col min="13" max="13" width="12.44140625" style="307" bestFit="1" customWidth="1"/>
    <col min="14" max="14" width="13.5546875" style="307" bestFit="1" customWidth="1"/>
    <col min="15" max="15" width="13.44140625" style="307" customWidth="1"/>
    <col min="16" max="16384" width="9.109375" style="307"/>
  </cols>
  <sheetData>
    <row r="2" spans="3:15" ht="15" thickBot="1">
      <c r="C2" s="307" t="s">
        <v>37</v>
      </c>
    </row>
    <row r="3" spans="3:15" ht="15" thickBot="1">
      <c r="C3" s="308"/>
      <c r="D3" s="1173">
        <v>2024</v>
      </c>
      <c r="E3" s="1174"/>
      <c r="F3" s="1175">
        <v>2025</v>
      </c>
      <c r="G3" s="1176"/>
      <c r="H3" s="1177">
        <v>2026</v>
      </c>
      <c r="I3" s="1178"/>
      <c r="L3" s="356" t="s">
        <v>38</v>
      </c>
      <c r="M3" s="357">
        <v>2024</v>
      </c>
      <c r="N3" s="357">
        <v>2025</v>
      </c>
      <c r="O3" s="363">
        <v>2026</v>
      </c>
    </row>
    <row r="4" spans="3:15">
      <c r="C4" s="309" t="s">
        <v>38</v>
      </c>
      <c r="D4" s="311" t="s">
        <v>39</v>
      </c>
      <c r="E4" s="311" t="s">
        <v>40</v>
      </c>
      <c r="F4" s="312" t="s">
        <v>39</v>
      </c>
      <c r="G4" s="312" t="s">
        <v>40</v>
      </c>
      <c r="H4" s="313" t="s">
        <v>39</v>
      </c>
      <c r="I4" s="314" t="s">
        <v>40</v>
      </c>
      <c r="L4" s="308" t="s">
        <v>41</v>
      </c>
      <c r="M4" s="360">
        <v>86510493</v>
      </c>
      <c r="N4" s="360">
        <v>93970020</v>
      </c>
      <c r="O4" s="361">
        <v>96459153</v>
      </c>
    </row>
    <row r="5" spans="3:15">
      <c r="C5" s="309" t="s">
        <v>42</v>
      </c>
      <c r="D5" s="315">
        <v>121455964</v>
      </c>
      <c r="E5" s="315">
        <v>121785152</v>
      </c>
      <c r="F5" s="315">
        <v>142222491</v>
      </c>
      <c r="G5" s="315">
        <v>142997206</v>
      </c>
      <c r="H5" s="315">
        <f>'Výnosy 2026'!D2</f>
        <v>146177858.44999999</v>
      </c>
      <c r="I5" s="316"/>
      <c r="L5" s="309" t="s">
        <v>43</v>
      </c>
      <c r="M5" s="315">
        <v>35274659</v>
      </c>
      <c r="N5" s="315">
        <v>49027186</v>
      </c>
      <c r="O5" s="316">
        <v>49718705</v>
      </c>
    </row>
    <row r="6" spans="3:15">
      <c r="C6" s="309" t="s">
        <v>6</v>
      </c>
      <c r="D6" s="315">
        <v>7063842</v>
      </c>
      <c r="E6" s="315">
        <v>7063842</v>
      </c>
      <c r="F6" s="315">
        <v>13687656</v>
      </c>
      <c r="G6" s="315">
        <f>'Výnosy 2026'!B3</f>
        <v>13687656</v>
      </c>
      <c r="H6" s="315">
        <f>'Výnosy 2026'!D3</f>
        <v>14022016</v>
      </c>
      <c r="I6" s="316"/>
      <c r="L6" s="309" t="s">
        <v>6</v>
      </c>
      <c r="M6" s="315">
        <v>7063842</v>
      </c>
      <c r="N6" s="315">
        <v>13687656</v>
      </c>
      <c r="O6" s="316">
        <v>14022016</v>
      </c>
    </row>
    <row r="7" spans="3:15">
      <c r="C7" s="309" t="s">
        <v>44</v>
      </c>
      <c r="D7" s="315"/>
      <c r="E7" s="315">
        <v>1671560</v>
      </c>
      <c r="F7" s="315"/>
      <c r="G7" s="315">
        <f>'Výnosy 2026'!B4+'Výnosy 2026'!B5</f>
        <v>3703900.0700000003</v>
      </c>
      <c r="H7" s="315"/>
      <c r="I7" s="316"/>
      <c r="L7" s="309" t="s">
        <v>44</v>
      </c>
      <c r="M7" s="315">
        <v>1671560</v>
      </c>
      <c r="N7" s="315">
        <v>3703900</v>
      </c>
      <c r="O7" s="316"/>
    </row>
    <row r="8" spans="3:15" ht="15" thickBot="1">
      <c r="C8" s="309" t="s">
        <v>45</v>
      </c>
      <c r="D8" s="315"/>
      <c r="E8" s="315">
        <v>381378</v>
      </c>
      <c r="F8" s="315">
        <v>-5000000</v>
      </c>
      <c r="G8" s="315">
        <v>-5000000</v>
      </c>
      <c r="H8" s="315">
        <v>-5000000</v>
      </c>
      <c r="I8" s="316"/>
      <c r="L8" s="310" t="s">
        <v>45</v>
      </c>
      <c r="M8" s="317"/>
      <c r="N8" s="317">
        <v>-5000000</v>
      </c>
      <c r="O8" s="362">
        <v>-5000000</v>
      </c>
    </row>
    <row r="9" spans="3:15" ht="15" thickBot="1">
      <c r="C9" s="318" t="s">
        <v>46</v>
      </c>
      <c r="D9" s="319">
        <f t="shared" ref="D9:H9" si="0">SUM(D5:D8)</f>
        <v>128519806</v>
      </c>
      <c r="E9" s="319">
        <f t="shared" si="0"/>
        <v>130901932</v>
      </c>
      <c r="F9" s="319">
        <f t="shared" si="0"/>
        <v>150910147</v>
      </c>
      <c r="G9" s="319">
        <f>SUM(G5:G8)</f>
        <v>155388762.06999999</v>
      </c>
      <c r="H9" s="319">
        <f t="shared" si="0"/>
        <v>155199874.44999999</v>
      </c>
      <c r="I9" s="319">
        <v>0</v>
      </c>
      <c r="L9" s="358" t="s">
        <v>46</v>
      </c>
      <c r="M9" s="359">
        <f>SUM(M4:M8)</f>
        <v>130520554</v>
      </c>
      <c r="N9" s="359">
        <f>SUM(N4:N8)</f>
        <v>155388762</v>
      </c>
      <c r="O9" s="359">
        <f>SUM(O4:O8)</f>
        <v>155199874</v>
      </c>
    </row>
    <row r="10" spans="3:15">
      <c r="C10" s="309" t="s">
        <v>47</v>
      </c>
      <c r="D10" s="315">
        <v>89877860</v>
      </c>
      <c r="E10" s="315">
        <v>90549743</v>
      </c>
      <c r="F10" s="315">
        <v>98991397</v>
      </c>
      <c r="G10" s="315">
        <v>97380120.920000002</v>
      </c>
      <c r="H10" s="315">
        <f>'Mzdy 2026'!L5-2000000</f>
        <v>99637105.900000006</v>
      </c>
      <c r="I10" s="316"/>
    </row>
    <row r="11" spans="3:15">
      <c r="C11" s="309" t="s">
        <v>48</v>
      </c>
      <c r="D11" s="315">
        <v>3975644</v>
      </c>
      <c r="E11" s="315">
        <v>3615242</v>
      </c>
      <c r="F11" s="315">
        <v>4825568</v>
      </c>
      <c r="G11" s="315">
        <v>4333291</v>
      </c>
      <c r="H11" s="315">
        <f>'Ateliery 2026'!Q28</f>
        <v>4776619.7358019035</v>
      </c>
      <c r="I11" s="316"/>
    </row>
    <row r="12" spans="3:15">
      <c r="C12" s="309" t="s">
        <v>49</v>
      </c>
      <c r="D12" s="315">
        <v>7094276</v>
      </c>
      <c r="E12" s="315">
        <v>5900742</v>
      </c>
      <c r="F12" s="315">
        <v>8378935</v>
      </c>
      <c r="G12" s="315">
        <v>11296541.880000001</v>
      </c>
      <c r="H12" s="315">
        <f>'Pracoviště 2026'!L67-H13</f>
        <v>8571218.6500000022</v>
      </c>
      <c r="I12" s="316"/>
      <c r="M12" s="355">
        <f>O4+O5+O6-N4-N5-N6</f>
        <v>3515012</v>
      </c>
      <c r="N12" s="307" t="s">
        <v>50</v>
      </c>
    </row>
    <row r="13" spans="3:15">
      <c r="C13" s="309" t="s">
        <v>51</v>
      </c>
      <c r="D13" s="315">
        <v>25529600</v>
      </c>
      <c r="E13" s="315">
        <v>16717054</v>
      </c>
      <c r="F13" s="315">
        <v>25891756</v>
      </c>
      <c r="G13" s="315">
        <v>18338609.050000001</v>
      </c>
      <c r="H13" s="315">
        <f>'Pracoviště 2026'!L68</f>
        <v>25024492.7775</v>
      </c>
      <c r="I13" s="316"/>
    </row>
    <row r="14" spans="3:15">
      <c r="C14" s="309" t="s">
        <v>52</v>
      </c>
      <c r="D14" s="315">
        <v>13351821</v>
      </c>
      <c r="E14" s="315">
        <v>21771118</v>
      </c>
      <c r="F14" s="315">
        <v>21794400</v>
      </c>
      <c r="G14" s="315">
        <v>14117115</v>
      </c>
      <c r="H14" s="315">
        <f>'Ostatní významné výdaje'!J33</f>
        <v>14848000</v>
      </c>
      <c r="I14" s="316"/>
    </row>
    <row r="15" spans="3:15">
      <c r="C15" s="318" t="s">
        <v>36</v>
      </c>
      <c r="D15" s="319">
        <f>SUM(D10:D14)</f>
        <v>139829201</v>
      </c>
      <c r="E15" s="319">
        <f t="shared" ref="E15:I15" si="1">SUM(E10:E14)</f>
        <v>138553899</v>
      </c>
      <c r="F15" s="319">
        <f t="shared" si="1"/>
        <v>159882056</v>
      </c>
      <c r="G15" s="319">
        <f>SUM(G10:G14)</f>
        <v>145465677.84999999</v>
      </c>
      <c r="H15" s="319">
        <f t="shared" si="1"/>
        <v>152857437.06330192</v>
      </c>
      <c r="I15" s="319">
        <f t="shared" si="1"/>
        <v>0</v>
      </c>
    </row>
    <row r="16" spans="3:15" ht="15" thickBot="1">
      <c r="C16" s="310" t="s">
        <v>53</v>
      </c>
      <c r="D16" s="317">
        <f>D9-D15</f>
        <v>-11309395</v>
      </c>
      <c r="E16" s="317">
        <f t="shared" ref="E16:I16" si="2">E9-E15</f>
        <v>-7651967</v>
      </c>
      <c r="F16" s="317">
        <f t="shared" si="2"/>
        <v>-8971909</v>
      </c>
      <c r="G16" s="317">
        <f>G9-G15</f>
        <v>9923084.2199999988</v>
      </c>
      <c r="H16" s="317">
        <f t="shared" si="2"/>
        <v>2342437.3866980672</v>
      </c>
      <c r="I16" s="317">
        <f t="shared" si="2"/>
        <v>0</v>
      </c>
    </row>
    <row r="18" spans="7:7">
      <c r="G18" s="320"/>
    </row>
  </sheetData>
  <mergeCells count="3">
    <mergeCell ref="D3:E3"/>
    <mergeCell ref="F3:G3"/>
    <mergeCell ref="H3:I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BF1B-3BCF-42E4-907C-A60DD8CCED2A}">
  <dimension ref="A1:Q28"/>
  <sheetViews>
    <sheetView tabSelected="1" zoomScale="93" zoomScaleNormal="93" workbookViewId="0">
      <selection activeCell="B32" sqref="B32"/>
    </sheetView>
  </sheetViews>
  <sheetFormatPr defaultColWidth="9.33203125" defaultRowHeight="13.8"/>
  <cols>
    <col min="1" max="1" width="8" style="15" customWidth="1"/>
    <col min="2" max="2" width="39" style="15" customWidth="1"/>
    <col min="3" max="3" width="13" style="15" bestFit="1" customWidth="1"/>
    <col min="4" max="4" width="15.5546875" style="15" bestFit="1" customWidth="1"/>
    <col min="5" max="5" width="13" style="15" bestFit="1" customWidth="1"/>
    <col min="6" max="6" width="11.33203125" style="15" bestFit="1" customWidth="1"/>
    <col min="7" max="7" width="9.6640625" style="15" bestFit="1" customWidth="1"/>
    <col min="8" max="8" width="11.44140625" style="15" bestFit="1" customWidth="1"/>
    <col min="9" max="9" width="13" style="15" bestFit="1" customWidth="1"/>
    <col min="10" max="10" width="11" style="15" bestFit="1" customWidth="1"/>
    <col min="11" max="11" width="11.6640625" style="15" bestFit="1" customWidth="1"/>
    <col min="12" max="12" width="12.44140625" style="15" customWidth="1"/>
    <col min="13" max="13" width="9.6640625" style="15" bestFit="1" customWidth="1"/>
    <col min="14" max="14" width="9.44140625" style="15" customWidth="1"/>
    <col min="15" max="15" width="11" style="15" bestFit="1" customWidth="1"/>
    <col min="16" max="16" width="8.33203125" style="15" customWidth="1"/>
    <col min="17" max="17" width="11.44140625" style="15" bestFit="1" customWidth="1"/>
    <col min="18" max="16384" width="9.33203125" style="15"/>
  </cols>
  <sheetData>
    <row r="1" spans="1:17" ht="14.4" thickBot="1"/>
    <row r="2" spans="1:17" ht="15" thickBot="1">
      <c r="D2" s="1168" t="s">
        <v>54</v>
      </c>
      <c r="E2" s="1169"/>
      <c r="F2" s="1169"/>
      <c r="G2" s="1169"/>
      <c r="H2" s="1170"/>
      <c r="I2" s="1166">
        <v>45992</v>
      </c>
      <c r="J2" s="1167"/>
      <c r="K2" s="1171" t="s">
        <v>55</v>
      </c>
      <c r="L2" s="1172"/>
      <c r="M2" s="1172"/>
      <c r="N2" s="1172"/>
      <c r="O2" s="1172"/>
      <c r="P2" s="1172"/>
      <c r="Q2" s="288" t="s">
        <v>36</v>
      </c>
    </row>
    <row r="3" spans="1:17" ht="42" thickBot="1">
      <c r="A3" s="198" t="s">
        <v>56</v>
      </c>
      <c r="B3" s="199"/>
      <c r="C3" s="200" t="s">
        <v>57</v>
      </c>
      <c r="D3" s="201" t="s">
        <v>58</v>
      </c>
      <c r="E3" s="201" t="s">
        <v>59</v>
      </c>
      <c r="F3" s="201" t="s">
        <v>60</v>
      </c>
      <c r="G3" s="202" t="s">
        <v>61</v>
      </c>
      <c r="H3" s="203" t="s">
        <v>62</v>
      </c>
      <c r="I3" s="204" t="s">
        <v>40</v>
      </c>
      <c r="J3" s="205" t="s">
        <v>63</v>
      </c>
      <c r="K3" s="206" t="s">
        <v>64</v>
      </c>
      <c r="L3" s="207" t="s">
        <v>59</v>
      </c>
      <c r="M3" s="207" t="s">
        <v>65</v>
      </c>
      <c r="N3" s="207" t="s">
        <v>66</v>
      </c>
      <c r="O3" s="208" t="s">
        <v>61</v>
      </c>
      <c r="P3" s="286" t="s">
        <v>62</v>
      </c>
      <c r="Q3" s="287"/>
    </row>
    <row r="4" spans="1:17">
      <c r="A4" s="905" t="s">
        <v>67</v>
      </c>
      <c r="B4" s="906" t="s">
        <v>68</v>
      </c>
      <c r="C4" s="209">
        <f>SUM(D4:H4)</f>
        <v>177912.98573081093</v>
      </c>
      <c r="D4" s="210">
        <v>52048.92</v>
      </c>
      <c r="E4" s="210">
        <v>105028</v>
      </c>
      <c r="F4" s="211">
        <v>0</v>
      </c>
      <c r="G4" s="210">
        <v>23195.56573081094</v>
      </c>
      <c r="H4" s="212">
        <f>2359.5-4719</f>
        <v>-2359.5</v>
      </c>
      <c r="I4" s="213">
        <v>97250.34</v>
      </c>
      <c r="J4" s="214">
        <v>54.66</v>
      </c>
      <c r="K4" s="215">
        <f t="shared" ref="K4:K10" si="0">C4-I4</f>
        <v>80662.645730810938</v>
      </c>
      <c r="L4" s="216">
        <f>Ateliery_kalkulace!I3</f>
        <v>114466</v>
      </c>
      <c r="M4" s="216"/>
      <c r="N4" s="217"/>
      <c r="O4" s="217"/>
      <c r="P4" s="352">
        <f>Ateliery_kalkulace!Y3*Ateliery_kalkulace!AA3</f>
        <v>-9400</v>
      </c>
      <c r="Q4" s="303">
        <f>K4+L4+O4+P4</f>
        <v>185728.64573081094</v>
      </c>
    </row>
    <row r="5" spans="1:17">
      <c r="A5" s="945" t="s">
        <v>69</v>
      </c>
      <c r="B5" s="946" t="s">
        <v>70</v>
      </c>
      <c r="C5" s="925">
        <f>SUM(D5:H5)</f>
        <v>203405.86335100612</v>
      </c>
      <c r="D5" s="947">
        <v>21796.549999999988</v>
      </c>
      <c r="E5" s="947">
        <v>147499</v>
      </c>
      <c r="F5" s="948">
        <v>0</v>
      </c>
      <c r="G5" s="947">
        <v>31750.813351006145</v>
      </c>
      <c r="H5" s="949">
        <f>-2359.5+4719</f>
        <v>2359.5</v>
      </c>
      <c r="I5" s="950">
        <v>181366.84</v>
      </c>
      <c r="J5" s="951">
        <v>89.17</v>
      </c>
      <c r="K5" s="947">
        <f t="shared" si="0"/>
        <v>22039.023351006123</v>
      </c>
      <c r="L5" s="216">
        <f>Ateliery_kalkulace!I4</f>
        <v>133342</v>
      </c>
      <c r="M5" s="216"/>
      <c r="N5" s="948"/>
      <c r="O5" s="948"/>
      <c r="P5" s="353">
        <f>Ateliery_kalkulace!Y4*Ateliery_kalkulace!AA3</f>
        <v>2350</v>
      </c>
      <c r="Q5" s="303">
        <f t="shared" ref="Q5:Q9" si="1">K5+L5+O5+P5</f>
        <v>157731.02335100612</v>
      </c>
    </row>
    <row r="6" spans="1:17">
      <c r="A6" s="945" t="s">
        <v>71</v>
      </c>
      <c r="B6" s="946" t="s">
        <v>72</v>
      </c>
      <c r="C6" s="925">
        <v>218960.64000000001</v>
      </c>
      <c r="D6" s="947">
        <v>19055.510000000009</v>
      </c>
      <c r="E6" s="947">
        <v>142780</v>
      </c>
      <c r="F6" s="948">
        <v>0</v>
      </c>
      <c r="G6" s="947">
        <v>54765.634413784792</v>
      </c>
      <c r="H6" s="949">
        <v>2359.5</v>
      </c>
      <c r="I6" s="950">
        <v>229398.48</v>
      </c>
      <c r="J6" s="951">
        <v>104.77</v>
      </c>
      <c r="K6" s="947">
        <f t="shared" si="0"/>
        <v>-10437.839999999997</v>
      </c>
      <c r="L6" s="216">
        <f>Ateliery_kalkulace!I5</f>
        <v>156937</v>
      </c>
      <c r="M6" s="216"/>
      <c r="N6" s="948"/>
      <c r="O6" s="948"/>
      <c r="P6" s="353"/>
      <c r="Q6" s="303">
        <f t="shared" si="1"/>
        <v>146499.16</v>
      </c>
    </row>
    <row r="7" spans="1:17">
      <c r="A7" s="945" t="s">
        <v>73</v>
      </c>
      <c r="B7" s="946" t="s">
        <v>74</v>
      </c>
      <c r="C7" s="925">
        <f>SUM(D7:H7)</f>
        <v>169300.29006145318</v>
      </c>
      <c r="D7" s="947">
        <v>11308.279999999999</v>
      </c>
      <c r="E7" s="947">
        <v>156937</v>
      </c>
      <c r="F7" s="947">
        <v>0</v>
      </c>
      <c r="G7" s="947">
        <v>8133.5100614531875</v>
      </c>
      <c r="H7" s="949">
        <f>-2359.5-4719</f>
        <v>-7078.5</v>
      </c>
      <c r="I7" s="950">
        <v>75275.16</v>
      </c>
      <c r="J7" s="951">
        <v>44.46</v>
      </c>
      <c r="K7" s="947">
        <f t="shared" si="0"/>
        <v>94025.130061453179</v>
      </c>
      <c r="L7" s="216">
        <f>Ateliery_kalkulace!I6</f>
        <v>147499</v>
      </c>
      <c r="M7" s="216"/>
      <c r="N7" s="948"/>
      <c r="O7" s="948"/>
      <c r="P7" s="353"/>
      <c r="Q7" s="303">
        <f t="shared" si="1"/>
        <v>241524.13006145318</v>
      </c>
    </row>
    <row r="8" spans="1:17">
      <c r="A8" s="945" t="s">
        <v>75</v>
      </c>
      <c r="B8" s="946" t="s">
        <v>76</v>
      </c>
      <c r="C8" s="925">
        <f>SUM(D8:H8)</f>
        <v>155112.60557055066</v>
      </c>
      <c r="D8" s="947">
        <v>-13763.130000000005</v>
      </c>
      <c r="E8" s="947">
        <v>133342</v>
      </c>
      <c r="F8" s="947">
        <v>0</v>
      </c>
      <c r="G8" s="947">
        <v>28455.235570550671</v>
      </c>
      <c r="H8" s="949">
        <f>2359.5+4719</f>
        <v>7078.5</v>
      </c>
      <c r="I8" s="950">
        <v>155708.25</v>
      </c>
      <c r="J8" s="951">
        <v>100.38</v>
      </c>
      <c r="K8" s="947">
        <f t="shared" si="0"/>
        <v>-595.64442944934126</v>
      </c>
      <c r="L8" s="216">
        <f>Ateliery_kalkulace!I7</f>
        <v>152218</v>
      </c>
      <c r="M8" s="216"/>
      <c r="N8" s="920"/>
      <c r="O8" s="948"/>
      <c r="P8" s="353"/>
      <c r="Q8" s="303">
        <f t="shared" si="1"/>
        <v>151622.35557055066</v>
      </c>
    </row>
    <row r="9" spans="1:17">
      <c r="A9" s="945" t="s">
        <v>77</v>
      </c>
      <c r="B9" s="946" t="s">
        <v>78</v>
      </c>
      <c r="C9" s="925">
        <v>166383.45000000001</v>
      </c>
      <c r="D9" s="947">
        <v>44383.53</v>
      </c>
      <c r="E9" s="947">
        <v>105028</v>
      </c>
      <c r="F9" s="947">
        <v>0</v>
      </c>
      <c r="G9" s="947">
        <v>16971.924328232315</v>
      </c>
      <c r="H9" s="949">
        <v>0</v>
      </c>
      <c r="I9" s="950">
        <v>168554.04</v>
      </c>
      <c r="J9" s="951">
        <v>101.3</v>
      </c>
      <c r="K9" s="947">
        <f t="shared" si="0"/>
        <v>-2170.5899999999965</v>
      </c>
      <c r="L9" s="216">
        <f>Ateliery_kalkulace!I8</f>
        <v>105028</v>
      </c>
      <c r="M9" s="216"/>
      <c r="N9" s="920"/>
      <c r="O9" s="948"/>
      <c r="P9" s="353">
        <f>Ateliery_kalkulace!Y8*Ateliery_kalkulace!AA3</f>
        <v>-2350</v>
      </c>
      <c r="Q9" s="303">
        <f t="shared" si="1"/>
        <v>100507.41</v>
      </c>
    </row>
    <row r="10" spans="1:17">
      <c r="A10" s="945" t="s">
        <v>79</v>
      </c>
      <c r="B10" s="946" t="s">
        <v>80</v>
      </c>
      <c r="C10" s="925">
        <f>SUM(D10:H10)+75000</f>
        <v>263259.16058681766</v>
      </c>
      <c r="D10" s="947">
        <v>-3582.210000000021</v>
      </c>
      <c r="E10" s="947">
        <v>158623</v>
      </c>
      <c r="F10" s="947">
        <v>20290</v>
      </c>
      <c r="G10" s="947">
        <v>24725.870586817688</v>
      </c>
      <c r="H10" s="949">
        <f>-2359.5-9438</f>
        <v>-11797.5</v>
      </c>
      <c r="I10" s="950">
        <v>232698.84</v>
      </c>
      <c r="J10" s="951">
        <v>88.39</v>
      </c>
      <c r="K10" s="947">
        <f t="shared" si="0"/>
        <v>30560.320586817659</v>
      </c>
      <c r="L10" s="216">
        <f>Ateliery_kalkulace!I9</f>
        <v>109747</v>
      </c>
      <c r="M10" s="216"/>
      <c r="N10" s="920"/>
      <c r="O10" s="948"/>
      <c r="P10" s="353"/>
      <c r="Q10" s="304">
        <f>K10+L10+N10</f>
        <v>140307.32058681766</v>
      </c>
    </row>
    <row r="11" spans="1:17">
      <c r="A11" s="945" t="s">
        <v>81</v>
      </c>
      <c r="B11" s="946" t="s">
        <v>1677</v>
      </c>
      <c r="C11" s="925">
        <f>SUM(D11:H11)</f>
        <v>237951.92278949273</v>
      </c>
      <c r="D11" s="947">
        <v>-48198.729999999996</v>
      </c>
      <c r="E11" s="947">
        <v>100309</v>
      </c>
      <c r="F11" s="947">
        <v>128376</v>
      </c>
      <c r="G11" s="947">
        <v>45668.152789492713</v>
      </c>
      <c r="H11" s="949">
        <v>11797.5</v>
      </c>
      <c r="I11" s="950">
        <v>221686.58</v>
      </c>
      <c r="J11" s="951">
        <v>93.16</v>
      </c>
      <c r="K11" s="947">
        <f t="shared" ref="K11" si="2">C11-I11</f>
        <v>16265.342789492744</v>
      </c>
      <c r="L11" s="216">
        <f>Ateliery_kalkulace!I10</f>
        <v>100309</v>
      </c>
      <c r="M11" s="216">
        <v>33000</v>
      </c>
      <c r="N11" s="920">
        <v>30000</v>
      </c>
      <c r="O11" s="947"/>
      <c r="P11" s="353">
        <f>Ateliery_kalkulace!Y10*Ateliery_kalkulace!AA3</f>
        <v>7050</v>
      </c>
      <c r="Q11" s="304">
        <f>K11+L11+N11</f>
        <v>146574.34278949274</v>
      </c>
    </row>
    <row r="12" spans="1:17">
      <c r="A12" s="945" t="s">
        <v>83</v>
      </c>
      <c r="B12" s="946" t="s">
        <v>84</v>
      </c>
      <c r="C12" s="925">
        <f>SUM(D12:H12)+5000</f>
        <v>271806.66123870347</v>
      </c>
      <c r="D12" s="947">
        <v>94211.38</v>
      </c>
      <c r="E12" s="947">
        <v>142780</v>
      </c>
      <c r="F12" s="947">
        <v>0</v>
      </c>
      <c r="G12" s="947">
        <v>34534.281238703465</v>
      </c>
      <c r="H12" s="949">
        <f>-2359.5-2359.5</f>
        <v>-4719</v>
      </c>
      <c r="I12" s="950">
        <v>187502.14</v>
      </c>
      <c r="J12" s="951">
        <v>68.98</v>
      </c>
      <c r="K12" s="947">
        <f>C12-I12</f>
        <v>84304.521238703455</v>
      </c>
      <c r="L12" s="216">
        <f>Ateliery_kalkulace!I11</f>
        <v>119185</v>
      </c>
      <c r="M12" s="216"/>
      <c r="N12" s="920"/>
      <c r="O12" s="948"/>
      <c r="P12" s="353"/>
      <c r="Q12" s="304">
        <f>K12+L12</f>
        <v>203489.52123870346</v>
      </c>
    </row>
    <row r="13" spans="1:17">
      <c r="A13" s="945" t="s">
        <v>85</v>
      </c>
      <c r="B13" s="946" t="s">
        <v>86</v>
      </c>
      <c r="C13" s="925">
        <f>SUM(D13:H13)</f>
        <v>169581.06338113025</v>
      </c>
      <c r="D13" s="947">
        <v>11037</v>
      </c>
      <c r="E13" s="947">
        <v>152218</v>
      </c>
      <c r="F13" s="947">
        <v>0</v>
      </c>
      <c r="G13" s="947">
        <v>6326.0633811302569</v>
      </c>
      <c r="H13" s="949">
        <f>4719-4719</f>
        <v>0</v>
      </c>
      <c r="I13" s="950">
        <v>209401.55</v>
      </c>
      <c r="J13" s="951">
        <v>123.48</v>
      </c>
      <c r="K13" s="947">
        <v>-20000</v>
      </c>
      <c r="L13" s="216">
        <f>Ateliery_kalkulace!I12</f>
        <v>147499</v>
      </c>
      <c r="M13" s="216"/>
      <c r="N13" s="920"/>
      <c r="O13" s="948"/>
      <c r="P13" s="353">
        <f>Ateliery_kalkulace!Y12*Ateliery_kalkulace!AA3</f>
        <v>-2350</v>
      </c>
      <c r="Q13" s="304">
        <f>K13+L13+P13</f>
        <v>125149</v>
      </c>
    </row>
    <row r="14" spans="1:17">
      <c r="A14" s="945" t="s">
        <v>87</v>
      </c>
      <c r="B14" s="946" t="s">
        <v>88</v>
      </c>
      <c r="C14" s="925">
        <f>SUM(D14:H14)+4000</f>
        <v>208876.92925533195</v>
      </c>
      <c r="D14" s="947">
        <v>34832.609999999986</v>
      </c>
      <c r="E14" s="947">
        <v>119185</v>
      </c>
      <c r="F14" s="947">
        <v>0</v>
      </c>
      <c r="G14" s="947">
        <v>48499.819255331968</v>
      </c>
      <c r="H14" s="949">
        <v>2359.5</v>
      </c>
      <c r="I14" s="950">
        <v>170370</v>
      </c>
      <c r="J14" s="951">
        <v>81.56</v>
      </c>
      <c r="K14" s="947">
        <f>C14-I14</f>
        <v>38506.929255331954</v>
      </c>
      <c r="L14" s="216">
        <f>Ateliery_kalkulace!I13</f>
        <v>138061</v>
      </c>
      <c r="M14" s="216"/>
      <c r="N14" s="920"/>
      <c r="O14" s="948"/>
      <c r="P14" s="353"/>
      <c r="Q14" s="304">
        <f>K14+L14</f>
        <v>176567.92925533195</v>
      </c>
    </row>
    <row r="15" spans="1:17">
      <c r="A15" s="945" t="s">
        <v>89</v>
      </c>
      <c r="B15" s="946" t="s">
        <v>90</v>
      </c>
      <c r="C15" s="925">
        <f>SUM(D15:H15)+27000</f>
        <v>223748.87803229305</v>
      </c>
      <c r="D15" s="947">
        <v>27943.21</v>
      </c>
      <c r="E15" s="947">
        <v>128623</v>
      </c>
      <c r="F15" s="947">
        <v>0</v>
      </c>
      <c r="G15" s="947">
        <v>30744.668032293048</v>
      </c>
      <c r="H15" s="949">
        <f>2359.5+7078.5</f>
        <v>9438</v>
      </c>
      <c r="I15" s="950">
        <v>186396.93</v>
      </c>
      <c r="J15" s="951">
        <v>83.31</v>
      </c>
      <c r="K15" s="947">
        <f>C15-I15</f>
        <v>37351.948032293061</v>
      </c>
      <c r="L15" s="216">
        <f>Ateliery_kalkulace!I14</f>
        <v>133342</v>
      </c>
      <c r="M15" s="216"/>
      <c r="N15" s="920" t="s">
        <v>91</v>
      </c>
      <c r="O15" s="948"/>
      <c r="P15" s="353">
        <f>Ateliery_kalkulace!Y14*Ateliery_kalkulace!AA3</f>
        <v>9400</v>
      </c>
      <c r="Q15" s="304">
        <f>K15+L15+70000+P15</f>
        <v>250093.94803229306</v>
      </c>
    </row>
    <row r="16" spans="1:17">
      <c r="A16" s="945" t="s">
        <v>92</v>
      </c>
      <c r="B16" s="946" t="s">
        <v>93</v>
      </c>
      <c r="C16" s="925">
        <v>207917.68</v>
      </c>
      <c r="D16" s="947">
        <v>36952.660000000003</v>
      </c>
      <c r="E16" s="947">
        <v>156937</v>
      </c>
      <c r="F16" s="947">
        <v>0</v>
      </c>
      <c r="G16" s="947">
        <v>16387.516568261235</v>
      </c>
      <c r="H16" s="949">
        <v>-2359.5</v>
      </c>
      <c r="I16" s="950">
        <v>217518.17</v>
      </c>
      <c r="J16" s="951">
        <v>104.62</v>
      </c>
      <c r="K16" s="947">
        <f>C16-I16</f>
        <v>-9600.4900000000198</v>
      </c>
      <c r="L16" s="216">
        <f>Ateliery_kalkulace!I15</f>
        <v>156937</v>
      </c>
      <c r="M16" s="216"/>
      <c r="N16" s="920"/>
      <c r="O16" s="948"/>
      <c r="P16" s="353">
        <f>Ateliery_kalkulace!Y15*Ateliery_kalkulace!AA3</f>
        <v>2350</v>
      </c>
      <c r="Q16" s="304">
        <f>K16+L16+P16</f>
        <v>149686.50999999998</v>
      </c>
    </row>
    <row r="17" spans="1:17">
      <c r="A17" s="945" t="s">
        <v>94</v>
      </c>
      <c r="B17" s="946" t="s">
        <v>95</v>
      </c>
      <c r="C17" s="925">
        <f>SUM(D17:H17)</f>
        <v>234093.11106518857</v>
      </c>
      <c r="D17" s="947"/>
      <c r="E17" s="947">
        <v>128623</v>
      </c>
      <c r="F17" s="947">
        <v>55051.27</v>
      </c>
      <c r="G17" s="947">
        <v>40980.841065188579</v>
      </c>
      <c r="H17" s="949">
        <f>4719+4719</f>
        <v>9438</v>
      </c>
      <c r="I17" s="950">
        <v>171755</v>
      </c>
      <c r="J17" s="951">
        <v>73.37</v>
      </c>
      <c r="K17" s="947">
        <f t="shared" ref="K17:K18" si="3">C17-I17</f>
        <v>62338.111065188568</v>
      </c>
      <c r="L17" s="216">
        <f>Ateliery_kalkulace!I16</f>
        <v>114466</v>
      </c>
      <c r="M17" s="216">
        <v>160000</v>
      </c>
      <c r="N17" s="920">
        <v>0</v>
      </c>
      <c r="O17" s="948"/>
      <c r="P17" s="353">
        <f>Ateliery_kalkulace!Y16*Ateliery_kalkulace!AA3</f>
        <v>-2350</v>
      </c>
      <c r="Q17" s="304">
        <f>K17+L17+N17+O17+P17-40000</f>
        <v>134454.11106518857</v>
      </c>
    </row>
    <row r="18" spans="1:17">
      <c r="A18" s="945" t="s">
        <v>96</v>
      </c>
      <c r="B18" s="946" t="s">
        <v>97</v>
      </c>
      <c r="C18" s="925">
        <f>SUM(D18:H18)</f>
        <v>230879.55527533437</v>
      </c>
      <c r="D18" s="947">
        <v>91155.26999999999</v>
      </c>
      <c r="E18" s="947">
        <v>114466</v>
      </c>
      <c r="F18" s="947"/>
      <c r="G18" s="947">
        <v>27617.785275334376</v>
      </c>
      <c r="H18" s="949">
        <v>-2359.5</v>
      </c>
      <c r="I18" s="950">
        <v>254950.95</v>
      </c>
      <c r="J18" s="951">
        <v>110.43</v>
      </c>
      <c r="K18" s="947">
        <f t="shared" si="3"/>
        <v>-24071.394724665646</v>
      </c>
      <c r="L18" s="216">
        <f>Ateliery_kalkulace!I17</f>
        <v>128623</v>
      </c>
      <c r="M18" s="216"/>
      <c r="N18" s="920"/>
      <c r="O18" s="948"/>
      <c r="P18" s="353">
        <f>Ateliery_kalkulace!Y17*Ateliery_kalkulace!AA3</f>
        <v>-2350</v>
      </c>
      <c r="Q18" s="304">
        <f>L18+P18</f>
        <v>126273</v>
      </c>
    </row>
    <row r="19" spans="1:17">
      <c r="A19" s="945" t="s">
        <v>98</v>
      </c>
      <c r="B19" s="946" t="s">
        <v>99</v>
      </c>
      <c r="C19" s="925">
        <f>SUM(D19:H19)</f>
        <v>720842.07761296548</v>
      </c>
      <c r="D19" s="947">
        <v>-27092.109999999986</v>
      </c>
      <c r="E19" s="947">
        <v>133342</v>
      </c>
      <c r="F19" s="947">
        <v>559935</v>
      </c>
      <c r="G19" s="947">
        <v>54657.187612965419</v>
      </c>
      <c r="H19" s="949"/>
      <c r="I19" s="950">
        <v>486305.82</v>
      </c>
      <c r="J19" s="951">
        <v>69.06</v>
      </c>
      <c r="K19" s="947">
        <v>100000</v>
      </c>
      <c r="L19" s="216">
        <f>Ateliery_kalkulace!J18</f>
        <v>133342</v>
      </c>
      <c r="M19" s="216">
        <f>765820-107500</f>
        <v>658320</v>
      </c>
      <c r="N19" s="920">
        <f>194320+8000</f>
        <v>202320</v>
      </c>
      <c r="O19" s="948"/>
      <c r="P19" s="353"/>
      <c r="Q19" s="304">
        <f>N19+L19+K19</f>
        <v>435662</v>
      </c>
    </row>
    <row r="20" spans="1:17">
      <c r="A20" s="945" t="s">
        <v>100</v>
      </c>
      <c r="B20" s="946" t="s">
        <v>101</v>
      </c>
      <c r="C20" s="925">
        <f>SUM(D20:H20)</f>
        <v>360060.67898903484</v>
      </c>
      <c r="D20" s="947">
        <v>-581.42999999999302</v>
      </c>
      <c r="E20" s="947">
        <v>109747</v>
      </c>
      <c r="F20" s="947">
        <v>140000</v>
      </c>
      <c r="G20" s="947">
        <v>113254.60898903482</v>
      </c>
      <c r="H20" s="949">
        <v>-2359.5</v>
      </c>
      <c r="I20" s="950">
        <v>298897.59000000003</v>
      </c>
      <c r="J20" s="951">
        <v>86.49</v>
      </c>
      <c r="K20" s="947">
        <f>C20-I20</f>
        <v>61163.088989034819</v>
      </c>
      <c r="L20" s="216">
        <f>Ateliery_kalkulace!J19</f>
        <v>100309</v>
      </c>
      <c r="M20" s="216"/>
      <c r="N20" s="920">
        <v>60000</v>
      </c>
      <c r="O20" s="948"/>
      <c r="P20" s="353"/>
      <c r="Q20" s="304">
        <f>SUM(K20:N20)</f>
        <v>221472.08898903482</v>
      </c>
    </row>
    <row r="21" spans="1:17">
      <c r="A21" s="945" t="s">
        <v>102</v>
      </c>
      <c r="B21" s="946" t="s">
        <v>103</v>
      </c>
      <c r="C21" s="925">
        <f>SUM(D21:H21)</f>
        <v>211103.10913122064</v>
      </c>
      <c r="D21" s="947">
        <v>27900.320000000007</v>
      </c>
      <c r="E21" s="947">
        <v>123904</v>
      </c>
      <c r="F21" s="947">
        <v>45487</v>
      </c>
      <c r="G21" s="947">
        <v>23249.789131220627</v>
      </c>
      <c r="H21" s="949">
        <f>-2359.5-7078.5</f>
        <v>-9438</v>
      </c>
      <c r="I21" s="950">
        <v>201135.94</v>
      </c>
      <c r="J21" s="951">
        <v>95.28</v>
      </c>
      <c r="K21" s="947">
        <f t="shared" ref="K21:K27" si="4">C21-I21</f>
        <v>9967.1691312206385</v>
      </c>
      <c r="L21" s="216">
        <f>Ateliery_kalkulace!J20</f>
        <v>133342</v>
      </c>
      <c r="M21" s="216">
        <v>40000</v>
      </c>
      <c r="N21" s="920">
        <v>40000</v>
      </c>
      <c r="O21" s="948"/>
      <c r="P21" s="353">
        <f>Ateliery_kalkulace!Y23*Ateliery_kalkulace!AA3</f>
        <v>-2350</v>
      </c>
      <c r="Q21" s="304">
        <f>K21+L21+N21+O21+P21</f>
        <v>180959.16913122064</v>
      </c>
    </row>
    <row r="22" spans="1:17">
      <c r="A22" s="945" t="s">
        <v>104</v>
      </c>
      <c r="B22" s="952" t="s">
        <v>105</v>
      </c>
      <c r="C22" s="925">
        <v>90000</v>
      </c>
      <c r="D22" s="947"/>
      <c r="E22" s="947">
        <v>90000</v>
      </c>
      <c r="F22" s="947"/>
      <c r="G22" s="947">
        <v>0</v>
      </c>
      <c r="H22" s="949"/>
      <c r="I22" s="950">
        <v>95435.54</v>
      </c>
      <c r="J22" s="951">
        <v>106.04</v>
      </c>
      <c r="K22" s="947">
        <f t="shared" si="4"/>
        <v>-5435.5399999999936</v>
      </c>
      <c r="L22" s="216">
        <v>90000</v>
      </c>
      <c r="M22" s="216"/>
      <c r="N22" s="920"/>
      <c r="O22" s="948"/>
      <c r="P22" s="353"/>
      <c r="Q22" s="304">
        <v>90000</v>
      </c>
    </row>
    <row r="23" spans="1:17">
      <c r="A23" s="945" t="s">
        <v>106</v>
      </c>
      <c r="B23" s="952" t="s">
        <v>107</v>
      </c>
      <c r="C23" s="925">
        <v>107933.17</v>
      </c>
      <c r="D23" s="947">
        <v>27933.17</v>
      </c>
      <c r="E23" s="947">
        <v>80000</v>
      </c>
      <c r="F23" s="947"/>
      <c r="G23" s="947">
        <v>0</v>
      </c>
      <c r="H23" s="949"/>
      <c r="I23" s="950">
        <v>104867.86</v>
      </c>
      <c r="J23" s="951">
        <v>97.16</v>
      </c>
      <c r="K23" s="947">
        <f t="shared" si="4"/>
        <v>3065.3099999999977</v>
      </c>
      <c r="L23" s="216">
        <v>100000</v>
      </c>
      <c r="M23" s="216"/>
      <c r="N23" s="920"/>
      <c r="O23" s="948"/>
      <c r="P23" s="353"/>
      <c r="Q23" s="304">
        <f>SUM(K23:L23)</f>
        <v>103065.31</v>
      </c>
    </row>
    <row r="24" spans="1:17">
      <c r="A24" s="945" t="s">
        <v>108</v>
      </c>
      <c r="B24" s="952" t="s">
        <v>109</v>
      </c>
      <c r="C24" s="925">
        <v>201012.36</v>
      </c>
      <c r="D24" s="947">
        <v>40530.369999999995</v>
      </c>
      <c r="E24" s="947">
        <v>160000</v>
      </c>
      <c r="F24" s="947"/>
      <c r="G24" s="947">
        <v>481.98578141944813</v>
      </c>
      <c r="H24" s="949"/>
      <c r="I24" s="950">
        <v>121460.6</v>
      </c>
      <c r="J24" s="951">
        <v>60.42</v>
      </c>
      <c r="K24" s="947">
        <f t="shared" si="4"/>
        <v>79551.75999999998</v>
      </c>
      <c r="L24" s="216">
        <v>140000</v>
      </c>
      <c r="M24" s="216"/>
      <c r="N24" s="920"/>
      <c r="O24" s="948"/>
      <c r="P24" s="353"/>
      <c r="Q24" s="304">
        <f>SUM(K24:L24)</f>
        <v>219551.75999999998</v>
      </c>
    </row>
    <row r="25" spans="1:17">
      <c r="A25" s="945" t="s">
        <v>110</v>
      </c>
      <c r="B25" s="952" t="s">
        <v>111</v>
      </c>
      <c r="C25" s="925">
        <f>SUM(D25:E25)</f>
        <v>172702.56</v>
      </c>
      <c r="D25" s="947">
        <v>32702.559999999998</v>
      </c>
      <c r="E25" s="947">
        <v>140000</v>
      </c>
      <c r="F25" s="947"/>
      <c r="G25" s="948"/>
      <c r="H25" s="953"/>
      <c r="I25" s="950">
        <v>176511.19</v>
      </c>
      <c r="J25" s="951">
        <v>102.21</v>
      </c>
      <c r="K25" s="947">
        <f t="shared" si="4"/>
        <v>-3808.6300000000047</v>
      </c>
      <c r="L25" s="216">
        <f>E25</f>
        <v>140000</v>
      </c>
      <c r="M25" s="216">
        <v>60000</v>
      </c>
      <c r="N25" s="920">
        <v>30000</v>
      </c>
      <c r="O25" s="948"/>
      <c r="P25" s="353"/>
      <c r="Q25" s="304">
        <f>L25+N25</f>
        <v>170000</v>
      </c>
    </row>
    <row r="26" spans="1:17">
      <c r="A26" s="945" t="s">
        <v>112</v>
      </c>
      <c r="B26" s="952" t="s">
        <v>113</v>
      </c>
      <c r="C26" s="925">
        <v>53998.33</v>
      </c>
      <c r="D26" s="948"/>
      <c r="E26" s="947">
        <v>23998.333333333332</v>
      </c>
      <c r="F26" s="947"/>
      <c r="G26" s="947"/>
      <c r="H26" s="949"/>
      <c r="I26" s="950">
        <v>55519.19</v>
      </c>
      <c r="J26" s="954">
        <v>102.82</v>
      </c>
      <c r="K26" s="947">
        <v>0</v>
      </c>
      <c r="L26" s="216">
        <v>67276</v>
      </c>
      <c r="M26" s="216">
        <v>150000</v>
      </c>
      <c r="N26" s="920">
        <v>80000</v>
      </c>
      <c r="O26" s="948"/>
      <c r="P26" s="353"/>
      <c r="Q26" s="304">
        <f>L26+N26</f>
        <v>147276</v>
      </c>
    </row>
    <row r="27" spans="1:17" ht="14.4" thickBot="1">
      <c r="A27" s="907" t="s">
        <v>114</v>
      </c>
      <c r="B27" s="955" t="s">
        <v>115</v>
      </c>
      <c r="C27" s="218">
        <v>22425.33</v>
      </c>
      <c r="D27" s="219"/>
      <c r="E27" s="219">
        <v>22425.33</v>
      </c>
      <c r="F27" s="219"/>
      <c r="G27" s="219"/>
      <c r="H27" s="220"/>
      <c r="I27" s="221">
        <v>0</v>
      </c>
      <c r="J27" s="956"/>
      <c r="K27" s="947">
        <f t="shared" si="4"/>
        <v>22425.33</v>
      </c>
      <c r="L27" s="216">
        <v>22425</v>
      </c>
      <c r="M27" s="216"/>
      <c r="N27" s="920"/>
      <c r="O27" s="948"/>
      <c r="P27" s="353"/>
      <c r="Q27" s="304">
        <f>L27+N27</f>
        <v>22425</v>
      </c>
    </row>
    <row r="28" spans="1:17">
      <c r="C28" s="222">
        <f>SUM(C4:C27)</f>
        <v>5079268.4120713342</v>
      </c>
      <c r="D28" s="222"/>
      <c r="E28" s="222">
        <f>SUM(E4:E27)</f>
        <v>2875794.6633333336</v>
      </c>
      <c r="F28" s="222">
        <f>SUM(F4:F27)</f>
        <v>949139.27</v>
      </c>
      <c r="G28" s="222">
        <f>SUM(G4:G27)</f>
        <v>630401.25316303165</v>
      </c>
      <c r="H28" s="222"/>
      <c r="I28" s="222">
        <f>SUM(I4:I27)</f>
        <v>4299967.0000000009</v>
      </c>
      <c r="J28" s="222"/>
      <c r="K28" s="223">
        <f t="shared" ref="K28:L28" si="5">SUM(K4:K27)</f>
        <v>666106.501077238</v>
      </c>
      <c r="L28" s="223">
        <f t="shared" si="5"/>
        <v>2884353</v>
      </c>
      <c r="M28" s="223"/>
      <c r="N28" s="223">
        <f>N11+N19+N20+N21+N25+N26+70000</f>
        <v>512320</v>
      </c>
      <c r="O28" s="284">
        <v>750000</v>
      </c>
      <c r="P28" s="223">
        <f>SUM(P4:P27)</f>
        <v>0</v>
      </c>
      <c r="Q28" s="908">
        <f>SUM(Q4:Q27)+O28</f>
        <v>4776619.7358019035</v>
      </c>
    </row>
  </sheetData>
  <mergeCells count="3">
    <mergeCell ref="I2:J2"/>
    <mergeCell ref="D2:H2"/>
    <mergeCell ref="K2:P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63AB3-2DA3-4879-BCF7-F10AAE9A4F25}">
  <dimension ref="A1:XEW72"/>
  <sheetViews>
    <sheetView zoomScale="98" zoomScaleNormal="98" workbookViewId="0">
      <pane ySplit="3" topLeftCell="A34" activePane="bottomLeft" state="frozen"/>
      <selection pane="bottomLeft" activeCell="F64" sqref="F64:F65"/>
    </sheetView>
  </sheetViews>
  <sheetFormatPr defaultColWidth="9.33203125" defaultRowHeight="13.8"/>
  <cols>
    <col min="1" max="1" width="9.33203125" style="15"/>
    <col min="2" max="2" width="44.44140625" style="15" bestFit="1" customWidth="1"/>
    <col min="3" max="3" width="9.5546875" style="15" bestFit="1" customWidth="1"/>
    <col min="4" max="4" width="11.5546875" style="15" bestFit="1" customWidth="1"/>
    <col min="5" max="5" width="11" style="15" bestFit="1" customWidth="1"/>
    <col min="6" max="6" width="13.33203125" style="222" bestFit="1" customWidth="1"/>
    <col min="7" max="7" width="13.33203125" style="222" customWidth="1"/>
    <col min="8" max="8" width="12.6640625" style="15" customWidth="1"/>
    <col min="9" max="11" width="12.6640625" style="259" customWidth="1"/>
    <col min="12" max="12" width="12.33203125" style="222" bestFit="1" customWidth="1"/>
    <col min="13" max="16384" width="9.33203125" style="15"/>
  </cols>
  <sheetData>
    <row r="1" spans="1:12" ht="14.4" thickBot="1"/>
    <row r="2" spans="1:12" ht="15.75" customHeight="1" thickBot="1">
      <c r="C2" s="1184" t="s">
        <v>116</v>
      </c>
      <c r="D2" s="1184"/>
      <c r="E2" s="1185"/>
      <c r="F2" s="1179" t="s">
        <v>117</v>
      </c>
      <c r="G2" s="1180"/>
      <c r="H2" s="1180"/>
      <c r="I2" s="1181" t="s">
        <v>118</v>
      </c>
      <c r="J2" s="1182"/>
      <c r="K2" s="1183"/>
      <c r="L2" s="196">
        <v>2026</v>
      </c>
    </row>
    <row r="3" spans="1:12" ht="14.4" thickBot="1">
      <c r="B3" s="15" t="s">
        <v>119</v>
      </c>
      <c r="C3" s="197" t="s">
        <v>57</v>
      </c>
      <c r="D3" s="197" t="s">
        <v>120</v>
      </c>
      <c r="E3" s="197" t="s">
        <v>121</v>
      </c>
      <c r="F3" s="260" t="s">
        <v>122</v>
      </c>
      <c r="G3" s="260" t="s">
        <v>123</v>
      </c>
      <c r="H3" s="261" t="s">
        <v>124</v>
      </c>
      <c r="I3" s="262" t="s">
        <v>125</v>
      </c>
      <c r="J3" s="263" t="s">
        <v>64</v>
      </c>
      <c r="K3" s="264" t="s">
        <v>121</v>
      </c>
      <c r="L3" s="265" t="s">
        <v>126</v>
      </c>
    </row>
    <row r="4" spans="1:12">
      <c r="A4" s="909">
        <v>10100</v>
      </c>
      <c r="B4" s="910" t="s">
        <v>127</v>
      </c>
      <c r="C4" s="911">
        <v>440000</v>
      </c>
      <c r="D4" s="912">
        <v>250000</v>
      </c>
      <c r="E4" s="912">
        <v>190000</v>
      </c>
      <c r="F4" s="209">
        <v>442608.49</v>
      </c>
      <c r="G4" s="913"/>
      <c r="H4" s="914">
        <f t="shared" ref="H4:H9" si="0">F4/C4</f>
        <v>1.0059283863636364</v>
      </c>
      <c r="I4" s="915"/>
      <c r="J4" s="940">
        <v>0</v>
      </c>
      <c r="K4" s="916">
        <v>190000</v>
      </c>
      <c r="L4" s="305">
        <f>K4</f>
        <v>190000</v>
      </c>
    </row>
    <row r="5" spans="1:12">
      <c r="A5" s="921">
        <v>10101</v>
      </c>
      <c r="B5" s="957" t="s">
        <v>128</v>
      </c>
      <c r="C5" s="923">
        <v>20000</v>
      </c>
      <c r="D5" s="924">
        <v>0</v>
      </c>
      <c r="E5" s="924">
        <v>20000</v>
      </c>
      <c r="F5" s="925">
        <v>21400.06</v>
      </c>
      <c r="G5" s="917"/>
      <c r="H5" s="918">
        <f t="shared" si="0"/>
        <v>1.070003</v>
      </c>
      <c r="I5" s="919"/>
      <c r="J5" s="941">
        <v>0</v>
      </c>
      <c r="K5" s="920">
        <v>20000</v>
      </c>
      <c r="L5" s="306">
        <f>K5</f>
        <v>20000</v>
      </c>
    </row>
    <row r="6" spans="1:12">
      <c r="A6" s="958">
        <v>10102</v>
      </c>
      <c r="B6" s="957" t="s">
        <v>129</v>
      </c>
      <c r="C6" s="923">
        <v>20000</v>
      </c>
      <c r="D6" s="924">
        <v>0</v>
      </c>
      <c r="E6" s="924">
        <v>20000</v>
      </c>
      <c r="F6" s="925">
        <v>1850</v>
      </c>
      <c r="G6" s="917"/>
      <c r="H6" s="918">
        <f t="shared" si="0"/>
        <v>9.2499999999999999E-2</v>
      </c>
      <c r="I6" s="919">
        <v>260000</v>
      </c>
      <c r="J6" s="941">
        <v>0</v>
      </c>
      <c r="K6" s="920">
        <v>22000</v>
      </c>
      <c r="L6" s="306">
        <f>SUM(I6:K6)</f>
        <v>282000</v>
      </c>
    </row>
    <row r="7" spans="1:12">
      <c r="A7" s="921">
        <v>10200</v>
      </c>
      <c r="B7" s="957" t="s">
        <v>130</v>
      </c>
      <c r="C7" s="923">
        <v>423200</v>
      </c>
      <c r="D7" s="924">
        <v>273200</v>
      </c>
      <c r="E7" s="924">
        <v>150000</v>
      </c>
      <c r="F7" s="925">
        <v>0</v>
      </c>
      <c r="G7" s="917"/>
      <c r="H7" s="918">
        <f t="shared" si="0"/>
        <v>0</v>
      </c>
      <c r="I7" s="919"/>
      <c r="J7" s="941">
        <v>0</v>
      </c>
      <c r="K7" s="920">
        <v>300000</v>
      </c>
      <c r="L7" s="306">
        <v>429000</v>
      </c>
    </row>
    <row r="8" spans="1:12">
      <c r="A8" s="921">
        <v>10300</v>
      </c>
      <c r="B8" s="957" t="s">
        <v>131</v>
      </c>
      <c r="C8" s="923">
        <v>125000</v>
      </c>
      <c r="D8" s="924">
        <v>0</v>
      </c>
      <c r="E8" s="924">
        <v>125000</v>
      </c>
      <c r="F8" s="925">
        <v>42000</v>
      </c>
      <c r="G8" s="917"/>
      <c r="H8" s="918">
        <f t="shared" si="0"/>
        <v>0.33600000000000002</v>
      </c>
      <c r="I8" s="919"/>
      <c r="J8" s="941">
        <v>0</v>
      </c>
      <c r="K8" s="920"/>
      <c r="L8" s="306">
        <v>100000</v>
      </c>
    </row>
    <row r="9" spans="1:12">
      <c r="A9" s="921">
        <v>10400</v>
      </c>
      <c r="B9" s="957" t="s">
        <v>132</v>
      </c>
      <c r="C9" s="923">
        <v>444560</v>
      </c>
      <c r="D9" s="924"/>
      <c r="E9" s="924">
        <v>444560</v>
      </c>
      <c r="F9" s="925">
        <v>317902</v>
      </c>
      <c r="G9" s="917"/>
      <c r="H9" s="918">
        <f t="shared" si="0"/>
        <v>0.71509357567032572</v>
      </c>
      <c r="I9" s="919"/>
      <c r="J9" s="941">
        <f>E9-F9</f>
        <v>126658</v>
      </c>
      <c r="K9" s="920">
        <v>400000</v>
      </c>
      <c r="L9" s="306">
        <f>SUM(J9:K9)</f>
        <v>526658</v>
      </c>
    </row>
    <row r="10" spans="1:12">
      <c r="A10" s="921">
        <v>10401</v>
      </c>
      <c r="B10" s="957" t="s">
        <v>133</v>
      </c>
      <c r="C10" s="923">
        <v>96200</v>
      </c>
      <c r="D10" s="924">
        <v>86200</v>
      </c>
      <c r="E10" s="924">
        <v>10000</v>
      </c>
      <c r="F10" s="925">
        <v>96306</v>
      </c>
      <c r="G10" s="917">
        <v>86200</v>
      </c>
      <c r="H10" s="918">
        <v>1.0011000000000001</v>
      </c>
      <c r="I10" s="919"/>
      <c r="J10" s="941">
        <v>0</v>
      </c>
      <c r="K10" s="920">
        <v>10000</v>
      </c>
      <c r="L10" s="306">
        <v>10000</v>
      </c>
    </row>
    <row r="11" spans="1:12">
      <c r="A11" s="921">
        <v>10500</v>
      </c>
      <c r="B11" s="957" t="s">
        <v>134</v>
      </c>
      <c r="C11" s="923">
        <v>35000</v>
      </c>
      <c r="D11" s="941">
        <v>5000</v>
      </c>
      <c r="E11" s="941">
        <v>30000</v>
      </c>
      <c r="F11" s="925">
        <v>57157.87</v>
      </c>
      <c r="G11" s="917">
        <v>5000</v>
      </c>
      <c r="H11" s="918">
        <f t="shared" ref="H11:H55" si="1">F11/C11</f>
        <v>1.6330820000000001</v>
      </c>
      <c r="I11" s="919">
        <v>5000</v>
      </c>
      <c r="J11" s="941">
        <v>0</v>
      </c>
      <c r="K11" s="920">
        <v>30000</v>
      </c>
      <c r="L11" s="306">
        <v>35000</v>
      </c>
    </row>
    <row r="12" spans="1:12">
      <c r="A12" s="958">
        <v>10600</v>
      </c>
      <c r="B12" s="957" t="s">
        <v>135</v>
      </c>
      <c r="C12" s="923">
        <v>26500</v>
      </c>
      <c r="D12" s="941">
        <v>0</v>
      </c>
      <c r="E12" s="941">
        <v>26500</v>
      </c>
      <c r="F12" s="925">
        <v>5250</v>
      </c>
      <c r="G12" s="917"/>
      <c r="H12" s="918">
        <f t="shared" si="1"/>
        <v>0.19811320754716982</v>
      </c>
      <c r="I12" s="919"/>
      <c r="J12" s="941"/>
      <c r="K12" s="920">
        <v>24000</v>
      </c>
      <c r="L12" s="306">
        <v>24000</v>
      </c>
    </row>
    <row r="13" spans="1:12">
      <c r="A13" s="921">
        <v>20100</v>
      </c>
      <c r="B13" s="922" t="s">
        <v>136</v>
      </c>
      <c r="C13" s="923">
        <v>260000</v>
      </c>
      <c r="D13" s="941">
        <v>0</v>
      </c>
      <c r="E13" s="941">
        <v>260000</v>
      </c>
      <c r="F13" s="925">
        <f>515153.78-324500</f>
        <v>190653.78000000003</v>
      </c>
      <c r="G13" s="917"/>
      <c r="H13" s="918">
        <f t="shared" si="1"/>
        <v>0.73328376923076932</v>
      </c>
      <c r="I13" s="919">
        <v>0</v>
      </c>
      <c r="J13" s="941">
        <f>E13-F13</f>
        <v>69346.219999999972</v>
      </c>
      <c r="K13" s="920">
        <f>L13-J13</f>
        <v>180653.78000000003</v>
      </c>
      <c r="L13" s="306">
        <v>250000</v>
      </c>
    </row>
    <row r="14" spans="1:12">
      <c r="A14" s="921">
        <v>20200</v>
      </c>
      <c r="B14" s="957" t="s">
        <v>137</v>
      </c>
      <c r="C14" s="923">
        <v>101000</v>
      </c>
      <c r="D14" s="941">
        <v>51000</v>
      </c>
      <c r="E14" s="941">
        <v>50000</v>
      </c>
      <c r="F14" s="925">
        <v>79325.98</v>
      </c>
      <c r="G14" s="917">
        <v>47000</v>
      </c>
      <c r="H14" s="918">
        <f t="shared" si="1"/>
        <v>0.78540574257425744</v>
      </c>
      <c r="I14" s="919">
        <f>78000-24000</f>
        <v>54000</v>
      </c>
      <c r="J14" s="941">
        <v>0</v>
      </c>
      <c r="K14" s="920">
        <v>60000</v>
      </c>
      <c r="L14" s="306">
        <f>SUM(I14:K14)</f>
        <v>114000</v>
      </c>
    </row>
    <row r="15" spans="1:12">
      <c r="A15" s="921">
        <v>20300</v>
      </c>
      <c r="B15" s="957" t="s">
        <v>138</v>
      </c>
      <c r="C15" s="923">
        <v>37200</v>
      </c>
      <c r="D15" s="941">
        <v>14700</v>
      </c>
      <c r="E15" s="941">
        <v>22500</v>
      </c>
      <c r="F15" s="925">
        <f>22820.25-3664.7</f>
        <v>19155.55</v>
      </c>
      <c r="G15" s="917">
        <v>14700</v>
      </c>
      <c r="H15" s="918">
        <f t="shared" si="1"/>
        <v>0.51493413978494618</v>
      </c>
      <c r="I15" s="919"/>
      <c r="J15" s="941">
        <v>0</v>
      </c>
      <c r="K15" s="920">
        <v>25000</v>
      </c>
      <c r="L15" s="306">
        <f>SUM(I15:K15)</f>
        <v>25000</v>
      </c>
    </row>
    <row r="16" spans="1:12">
      <c r="A16" s="921">
        <v>20301</v>
      </c>
      <c r="B16" s="957" t="s">
        <v>139</v>
      </c>
      <c r="C16" s="923">
        <v>78000</v>
      </c>
      <c r="D16" s="941">
        <v>30000</v>
      </c>
      <c r="E16" s="941">
        <v>48000</v>
      </c>
      <c r="F16" s="925">
        <v>82659.53</v>
      </c>
      <c r="G16" s="917">
        <v>30000</v>
      </c>
      <c r="H16" s="918">
        <f t="shared" si="1"/>
        <v>1.0597375641025641</v>
      </c>
      <c r="I16" s="919">
        <f>7900*2</f>
        <v>15800</v>
      </c>
      <c r="J16" s="941"/>
      <c r="K16" s="920">
        <f>85800+33200</f>
        <v>119000</v>
      </c>
      <c r="L16" s="306">
        <f>I16+K16</f>
        <v>134800</v>
      </c>
    </row>
    <row r="17" spans="1:12">
      <c r="A17" s="921">
        <v>20302</v>
      </c>
      <c r="B17" s="957" t="s">
        <v>140</v>
      </c>
      <c r="C17" s="923">
        <v>126000</v>
      </c>
      <c r="D17" s="941">
        <v>30000</v>
      </c>
      <c r="E17" s="941">
        <v>96000</v>
      </c>
      <c r="F17" s="925">
        <v>125290.96</v>
      </c>
      <c r="G17" s="917">
        <v>30000</v>
      </c>
      <c r="H17" s="918">
        <f t="shared" si="1"/>
        <v>0.99437269841269849</v>
      </c>
      <c r="I17" s="919">
        <f>7900*2+30000+1500*4</f>
        <v>51800</v>
      </c>
      <c r="J17" s="941"/>
      <c r="K17" s="920">
        <f>105600+40312</f>
        <v>145912</v>
      </c>
      <c r="L17" s="306">
        <f>I17+K17</f>
        <v>197712</v>
      </c>
    </row>
    <row r="18" spans="1:12">
      <c r="A18" s="921">
        <v>20303</v>
      </c>
      <c r="B18" s="957" t="s">
        <v>141</v>
      </c>
      <c r="C18" s="923">
        <v>74000</v>
      </c>
      <c r="D18" s="941">
        <v>30000</v>
      </c>
      <c r="E18" s="941">
        <v>44000</v>
      </c>
      <c r="F18" s="925">
        <v>78474.880000000005</v>
      </c>
      <c r="G18" s="917">
        <v>30000</v>
      </c>
      <c r="H18" s="918">
        <f t="shared" si="1"/>
        <v>1.0604713513513515</v>
      </c>
      <c r="I18" s="919">
        <f>7900*2</f>
        <v>15800</v>
      </c>
      <c r="J18" s="941"/>
      <c r="K18" s="920">
        <f>54000+40312</f>
        <v>94312</v>
      </c>
      <c r="L18" s="306">
        <f>I18+K18</f>
        <v>110112</v>
      </c>
    </row>
    <row r="19" spans="1:12">
      <c r="A19" s="921">
        <v>20304</v>
      </c>
      <c r="B19" s="957" t="s">
        <v>142</v>
      </c>
      <c r="C19" s="923">
        <v>15000</v>
      </c>
      <c r="D19" s="941">
        <v>0</v>
      </c>
      <c r="E19" s="941">
        <v>15000</v>
      </c>
      <c r="F19" s="925">
        <v>17455.97</v>
      </c>
      <c r="G19" s="917"/>
      <c r="H19" s="918">
        <f t="shared" si="1"/>
        <v>1.1637313333333335</v>
      </c>
      <c r="I19" s="919"/>
      <c r="J19" s="941">
        <f t="shared" ref="J19:J21" si="2">C19-F19</f>
        <v>-2455.9700000000012</v>
      </c>
      <c r="K19" s="920">
        <v>15000</v>
      </c>
      <c r="L19" s="306">
        <v>15000</v>
      </c>
    </row>
    <row r="20" spans="1:12">
      <c r="A20" s="921">
        <v>20305</v>
      </c>
      <c r="B20" s="957" t="s">
        <v>143</v>
      </c>
      <c r="C20" s="923">
        <v>180000</v>
      </c>
      <c r="D20" s="924"/>
      <c r="E20" s="941">
        <v>180000</v>
      </c>
      <c r="F20" s="925">
        <v>184781.44</v>
      </c>
      <c r="G20" s="917"/>
      <c r="H20" s="918">
        <f t="shared" si="1"/>
        <v>1.0265635555555557</v>
      </c>
      <c r="I20" s="919"/>
      <c r="J20" s="941">
        <f t="shared" si="2"/>
        <v>-4781.4400000000023</v>
      </c>
      <c r="K20" s="920">
        <v>180000</v>
      </c>
      <c r="L20" s="306">
        <v>180000</v>
      </c>
    </row>
    <row r="21" spans="1:12">
      <c r="A21" s="921">
        <v>20306</v>
      </c>
      <c r="B21" s="957" t="s">
        <v>144</v>
      </c>
      <c r="C21" s="923">
        <v>15000</v>
      </c>
      <c r="D21" s="924"/>
      <c r="E21" s="941">
        <v>15000</v>
      </c>
      <c r="F21" s="925">
        <v>6974.2</v>
      </c>
      <c r="G21" s="917"/>
      <c r="H21" s="918">
        <f t="shared" si="1"/>
        <v>0.46494666666666667</v>
      </c>
      <c r="I21" s="919"/>
      <c r="J21" s="941">
        <f t="shared" si="2"/>
        <v>8025.8</v>
      </c>
      <c r="K21" s="920">
        <v>15000</v>
      </c>
      <c r="L21" s="306">
        <v>15000</v>
      </c>
    </row>
    <row r="22" spans="1:12">
      <c r="A22" s="921">
        <v>20307</v>
      </c>
      <c r="B22" s="957" t="s">
        <v>145</v>
      </c>
      <c r="C22" s="923">
        <v>7980000</v>
      </c>
      <c r="D22" s="924"/>
      <c r="E22" s="941">
        <v>7980000</v>
      </c>
      <c r="F22" s="925">
        <v>7118963.75</v>
      </c>
      <c r="G22" s="917"/>
      <c r="H22" s="918">
        <f t="shared" si="1"/>
        <v>0.89210072055137846</v>
      </c>
      <c r="I22" s="919"/>
      <c r="J22" s="941"/>
      <c r="K22" s="920">
        <v>7500000</v>
      </c>
      <c r="L22" s="306">
        <v>7500000</v>
      </c>
    </row>
    <row r="23" spans="1:12">
      <c r="A23" s="921">
        <v>20308</v>
      </c>
      <c r="B23" s="922" t="s">
        <v>146</v>
      </c>
      <c r="C23" s="923">
        <v>100000</v>
      </c>
      <c r="D23" s="924"/>
      <c r="E23" s="941">
        <v>100000</v>
      </c>
      <c r="F23" s="925">
        <v>78157.279999999999</v>
      </c>
      <c r="G23" s="917"/>
      <c r="H23" s="918">
        <f t="shared" si="1"/>
        <v>0.78157279999999996</v>
      </c>
      <c r="I23" s="919"/>
      <c r="J23" s="941"/>
      <c r="K23" s="920">
        <v>100000</v>
      </c>
      <c r="L23" s="306">
        <v>100000</v>
      </c>
    </row>
    <row r="24" spans="1:12">
      <c r="A24" s="921">
        <v>20309</v>
      </c>
      <c r="B24" s="922" t="s">
        <v>147</v>
      </c>
      <c r="C24" s="923">
        <v>4400000</v>
      </c>
      <c r="D24" s="924"/>
      <c r="E24" s="941">
        <f>4000000*1.1</f>
        <v>4400000</v>
      </c>
      <c r="F24" s="925">
        <v>4321418.05</v>
      </c>
      <c r="G24" s="917"/>
      <c r="H24" s="918">
        <f>F24/C24</f>
        <v>0.98214046590909088</v>
      </c>
      <c r="I24" s="919"/>
      <c r="J24" s="941"/>
      <c r="K24" s="920">
        <v>4400000</v>
      </c>
      <c r="L24" s="306">
        <v>4400000</v>
      </c>
    </row>
    <row r="25" spans="1:12">
      <c r="A25" s="921">
        <v>20310</v>
      </c>
      <c r="B25" s="922" t="s">
        <v>148</v>
      </c>
      <c r="C25" s="923">
        <v>250000</v>
      </c>
      <c r="D25" s="924"/>
      <c r="E25" s="941">
        <v>250000</v>
      </c>
      <c r="F25" s="925">
        <v>361514.4</v>
      </c>
      <c r="G25" s="917"/>
      <c r="H25" s="918">
        <f t="shared" si="1"/>
        <v>1.4460576000000001</v>
      </c>
      <c r="I25" s="919"/>
      <c r="J25" s="941"/>
      <c r="K25" s="920">
        <v>250000</v>
      </c>
      <c r="L25" s="306">
        <v>250000</v>
      </c>
    </row>
    <row r="26" spans="1:12">
      <c r="A26" s="921">
        <v>20311</v>
      </c>
      <c r="B26" s="922" t="s">
        <v>149</v>
      </c>
      <c r="C26" s="923">
        <v>250000</v>
      </c>
      <c r="D26" s="924"/>
      <c r="E26" s="941">
        <v>250000</v>
      </c>
      <c r="F26" s="925">
        <v>218613.75</v>
      </c>
      <c r="G26" s="917"/>
      <c r="H26" s="918">
        <f t="shared" si="1"/>
        <v>0.87445499999999998</v>
      </c>
      <c r="I26" s="919"/>
      <c r="J26" s="941"/>
      <c r="K26" s="920">
        <v>250000</v>
      </c>
      <c r="L26" s="306">
        <v>250000</v>
      </c>
    </row>
    <row r="27" spans="1:12">
      <c r="A27" s="921">
        <v>20315</v>
      </c>
      <c r="B27" s="922" t="s">
        <v>150</v>
      </c>
      <c r="C27" s="923">
        <v>42000</v>
      </c>
      <c r="D27" s="924"/>
      <c r="E27" s="941">
        <v>42000</v>
      </c>
      <c r="F27" s="925">
        <v>36555</v>
      </c>
      <c r="G27" s="917"/>
      <c r="H27" s="918">
        <f t="shared" si="1"/>
        <v>0.87035714285714283</v>
      </c>
      <c r="I27" s="919"/>
      <c r="J27" s="941"/>
      <c r="K27" s="920">
        <v>42000</v>
      </c>
      <c r="L27" s="306">
        <f>K27</f>
        <v>42000</v>
      </c>
    </row>
    <row r="28" spans="1:12">
      <c r="A28" s="921">
        <v>20317</v>
      </c>
      <c r="B28" s="922" t="s">
        <v>151</v>
      </c>
      <c r="C28" s="923">
        <v>3743393</v>
      </c>
      <c r="D28" s="924">
        <v>162900</v>
      </c>
      <c r="E28" s="924">
        <v>3580492.7774999999</v>
      </c>
      <c r="F28" s="925">
        <v>2368614.5699999998</v>
      </c>
      <c r="G28" s="917"/>
      <c r="H28" s="918">
        <f t="shared" si="1"/>
        <v>0.63274536496702316</v>
      </c>
      <c r="I28" s="919">
        <v>120000</v>
      </c>
      <c r="J28" s="941"/>
      <c r="K28" s="920">
        <f>E28</f>
        <v>3580492.7774999999</v>
      </c>
      <c r="L28" s="306">
        <f>SUM(I28:K28)</f>
        <v>3700492.7774999999</v>
      </c>
    </row>
    <row r="29" spans="1:12">
      <c r="A29" s="921">
        <v>20318</v>
      </c>
      <c r="B29" s="922" t="s">
        <v>152</v>
      </c>
      <c r="C29" s="923">
        <v>82779</v>
      </c>
      <c r="D29" s="924">
        <v>0</v>
      </c>
      <c r="E29" s="924">
        <v>82779.05</v>
      </c>
      <c r="F29" s="925">
        <v>123032.42</v>
      </c>
      <c r="G29" s="917"/>
      <c r="H29" s="918">
        <f t="shared" si="1"/>
        <v>1.4862757462641492</v>
      </c>
      <c r="I29" s="919"/>
      <c r="J29" s="941"/>
      <c r="K29" s="920">
        <v>82000</v>
      </c>
      <c r="L29" s="306">
        <v>82000</v>
      </c>
    </row>
    <row r="30" spans="1:12">
      <c r="A30" s="921">
        <v>20321</v>
      </c>
      <c r="B30" s="922" t="s">
        <v>153</v>
      </c>
      <c r="C30" s="923">
        <v>1142964</v>
      </c>
      <c r="D30" s="924">
        <v>0</v>
      </c>
      <c r="E30" s="924">
        <v>1142963.8114285714</v>
      </c>
      <c r="F30" s="925">
        <v>787916.55</v>
      </c>
      <c r="G30" s="917"/>
      <c r="H30" s="918">
        <f t="shared" si="1"/>
        <v>0.68936252585383273</v>
      </c>
      <c r="I30" s="919"/>
      <c r="J30" s="941"/>
      <c r="K30" s="920">
        <v>800000</v>
      </c>
      <c r="L30" s="306">
        <v>800000</v>
      </c>
    </row>
    <row r="31" spans="1:12">
      <c r="A31" s="921">
        <v>20400</v>
      </c>
      <c r="B31" s="922" t="s">
        <v>154</v>
      </c>
      <c r="C31" s="923">
        <v>84337</v>
      </c>
      <c r="D31" s="924">
        <v>54337</v>
      </c>
      <c r="E31" s="924">
        <v>30000</v>
      </c>
      <c r="F31" s="925">
        <v>76884.160000000003</v>
      </c>
      <c r="G31" s="917">
        <v>46884.160000000003</v>
      </c>
      <c r="H31" s="918">
        <f t="shared" si="1"/>
        <v>0.91163024532530212</v>
      </c>
      <c r="I31" s="919"/>
      <c r="J31" s="920">
        <f t="shared" ref="J31:J32" si="3">C31-F31</f>
        <v>7452.8399999999965</v>
      </c>
      <c r="K31" s="920">
        <v>30000</v>
      </c>
      <c r="L31" s="306">
        <f>K31+J31</f>
        <v>37452.839999999997</v>
      </c>
    </row>
    <row r="32" spans="1:12">
      <c r="A32" s="921">
        <v>20500</v>
      </c>
      <c r="B32" s="922" t="s">
        <v>155</v>
      </c>
      <c r="C32" s="923">
        <v>50000</v>
      </c>
      <c r="D32" s="924"/>
      <c r="E32" s="924">
        <v>50000</v>
      </c>
      <c r="F32" s="925">
        <v>55014.34</v>
      </c>
      <c r="G32" s="917"/>
      <c r="H32" s="918">
        <f t="shared" si="1"/>
        <v>1.1002867999999999</v>
      </c>
      <c r="I32" s="919"/>
      <c r="J32" s="920">
        <f t="shared" si="3"/>
        <v>-5014.3399999999965</v>
      </c>
      <c r="K32" s="920">
        <v>50000</v>
      </c>
      <c r="L32" s="306">
        <f>K32+J32</f>
        <v>44985.66</v>
      </c>
    </row>
    <row r="33" spans="1:12 16377:16377">
      <c r="A33" s="921">
        <v>30100</v>
      </c>
      <c r="B33" s="922" t="s">
        <v>156</v>
      </c>
      <c r="C33" s="923">
        <v>86309</v>
      </c>
      <c r="D33" s="924"/>
      <c r="E33" s="924">
        <v>70000</v>
      </c>
      <c r="F33" s="925">
        <v>95985.04</v>
      </c>
      <c r="G33" s="917"/>
      <c r="H33" s="918">
        <f t="shared" si="1"/>
        <v>1.1121092817666756</v>
      </c>
      <c r="I33" s="919"/>
      <c r="J33" s="920">
        <v>0</v>
      </c>
      <c r="K33" s="920">
        <v>70000</v>
      </c>
      <c r="L33" s="306">
        <v>70000</v>
      </c>
    </row>
    <row r="34" spans="1:12 16377:16377">
      <c r="A34" s="921">
        <v>30200</v>
      </c>
      <c r="B34" s="922" t="s">
        <v>157</v>
      </c>
      <c r="C34" s="923">
        <v>85000</v>
      </c>
      <c r="D34" s="924">
        <v>0</v>
      </c>
      <c r="E34" s="924">
        <v>85000</v>
      </c>
      <c r="F34" s="925">
        <v>183377.79</v>
      </c>
      <c r="G34" s="917"/>
      <c r="H34" s="918">
        <f t="shared" si="1"/>
        <v>2.1573857647058823</v>
      </c>
      <c r="I34" s="919"/>
      <c r="J34" s="920">
        <v>0</v>
      </c>
      <c r="K34" s="920">
        <v>85000</v>
      </c>
      <c r="L34" s="306">
        <v>85000</v>
      </c>
    </row>
    <row r="35" spans="1:12 16377:16377">
      <c r="A35" s="958">
        <v>30300</v>
      </c>
      <c r="B35" s="922" t="s">
        <v>158</v>
      </c>
      <c r="C35" s="923">
        <v>80000</v>
      </c>
      <c r="D35" s="924"/>
      <c r="E35" s="924">
        <v>80000</v>
      </c>
      <c r="F35" s="925">
        <v>78458.98</v>
      </c>
      <c r="G35" s="917"/>
      <c r="H35" s="918">
        <f t="shared" si="1"/>
        <v>0.98073724999999989</v>
      </c>
      <c r="I35" s="919"/>
      <c r="J35" s="920"/>
      <c r="K35" s="920">
        <v>80000</v>
      </c>
      <c r="L35" s="306">
        <v>80000</v>
      </c>
    </row>
    <row r="36" spans="1:12 16377:16377">
      <c r="A36" s="921">
        <v>30400</v>
      </c>
      <c r="B36" s="922" t="s">
        <v>159</v>
      </c>
      <c r="C36" s="923">
        <v>956944</v>
      </c>
      <c r="D36" s="924"/>
      <c r="E36" s="924">
        <v>950600</v>
      </c>
      <c r="F36" s="925">
        <v>573047.43000000005</v>
      </c>
      <c r="G36" s="917"/>
      <c r="H36" s="918">
        <f t="shared" si="1"/>
        <v>0.59883068392716821</v>
      </c>
      <c r="I36" s="919">
        <v>230000</v>
      </c>
      <c r="J36" s="920">
        <v>100000</v>
      </c>
      <c r="K36" s="920">
        <v>614200</v>
      </c>
      <c r="L36" s="306">
        <f>I36+J36+K36</f>
        <v>944200</v>
      </c>
    </row>
    <row r="37" spans="1:12 16377:16377">
      <c r="A37" s="921">
        <v>30500</v>
      </c>
      <c r="B37" s="922" t="s">
        <v>160</v>
      </c>
      <c r="C37" s="923">
        <v>834906</v>
      </c>
      <c r="D37" s="924">
        <v>594965</v>
      </c>
      <c r="E37" s="924">
        <v>230000</v>
      </c>
      <c r="F37" s="925">
        <v>195040.43</v>
      </c>
      <c r="G37" s="917"/>
      <c r="H37" s="918">
        <f t="shared" si="1"/>
        <v>0.2336076516398253</v>
      </c>
      <c r="I37" s="919">
        <v>600000</v>
      </c>
      <c r="J37" s="920">
        <f>E37-F37</f>
        <v>34959.570000000007</v>
      </c>
      <c r="K37" s="920">
        <v>230000</v>
      </c>
      <c r="L37" s="306">
        <f>SUM(I37:K37)</f>
        <v>864959.57000000007</v>
      </c>
    </row>
    <row r="38" spans="1:12 16377:16377">
      <c r="A38" s="921">
        <v>30600</v>
      </c>
      <c r="B38" s="922" t="s">
        <v>161</v>
      </c>
      <c r="C38" s="923">
        <v>218435</v>
      </c>
      <c r="D38" s="924"/>
      <c r="E38" s="924">
        <v>218435</v>
      </c>
      <c r="F38" s="925">
        <v>185778.88</v>
      </c>
      <c r="G38" s="917"/>
      <c r="H38" s="918">
        <f t="shared" si="1"/>
        <v>0.85049959942316944</v>
      </c>
      <c r="I38" s="919"/>
      <c r="J38" s="941">
        <f>C38-F38</f>
        <v>32656.119999999995</v>
      </c>
      <c r="K38" s="920">
        <f>L38-J38</f>
        <v>227343.88</v>
      </c>
      <c r="L38" s="306">
        <v>260000</v>
      </c>
    </row>
    <row r="39" spans="1:12 16377:16377">
      <c r="A39" s="921">
        <v>30700</v>
      </c>
      <c r="B39" s="922" t="s">
        <v>162</v>
      </c>
      <c r="C39" s="923">
        <v>149868</v>
      </c>
      <c r="D39" s="924">
        <v>0</v>
      </c>
      <c r="E39" s="924">
        <v>148000</v>
      </c>
      <c r="F39" s="925">
        <v>149412.51999999999</v>
      </c>
      <c r="G39" s="917"/>
      <c r="H39" s="918">
        <f t="shared" si="1"/>
        <v>0.99696079216377076</v>
      </c>
      <c r="I39" s="919"/>
      <c r="J39" s="941">
        <f>C39-F39</f>
        <v>455.48000000001048</v>
      </c>
      <c r="K39" s="920">
        <f>E39</f>
        <v>148000</v>
      </c>
      <c r="L39" s="306">
        <v>148000</v>
      </c>
    </row>
    <row r="40" spans="1:12 16377:16377">
      <c r="A40" s="921">
        <v>40200</v>
      </c>
      <c r="B40" s="922" t="s">
        <v>163</v>
      </c>
      <c r="C40" s="923">
        <v>26310</v>
      </c>
      <c r="D40" s="924">
        <v>0</v>
      </c>
      <c r="E40" s="924">
        <v>10000</v>
      </c>
      <c r="F40" s="925">
        <v>19504.21</v>
      </c>
      <c r="G40" s="917"/>
      <c r="H40" s="918">
        <f t="shared" si="1"/>
        <v>0.74132307107563655</v>
      </c>
      <c r="I40" s="919"/>
      <c r="J40" s="941">
        <f>C40-F40</f>
        <v>6805.7900000000009</v>
      </c>
      <c r="K40" s="920">
        <v>20000</v>
      </c>
      <c r="L40" s="306">
        <v>20000</v>
      </c>
    </row>
    <row r="41" spans="1:12 16377:16377">
      <c r="A41" s="921">
        <v>40300</v>
      </c>
      <c r="B41" s="922" t="s">
        <v>164</v>
      </c>
      <c r="C41" s="923">
        <v>294038</v>
      </c>
      <c r="D41" s="924">
        <v>0</v>
      </c>
      <c r="E41" s="924">
        <v>170000</v>
      </c>
      <c r="F41" s="925">
        <v>305041.13</v>
      </c>
      <c r="G41" s="917"/>
      <c r="H41" s="918">
        <f t="shared" si="1"/>
        <v>1.0374207755460179</v>
      </c>
      <c r="I41" s="919">
        <v>75000</v>
      </c>
      <c r="J41" s="941">
        <f>C41-F41</f>
        <v>-11003.130000000005</v>
      </c>
      <c r="K41" s="920">
        <v>290000</v>
      </c>
      <c r="L41" s="306">
        <f>I41+J41+K41</f>
        <v>353996.87</v>
      </c>
    </row>
    <row r="42" spans="1:12 16377:16377">
      <c r="A42" s="921">
        <v>50100</v>
      </c>
      <c r="B42" s="922" t="s">
        <v>165</v>
      </c>
      <c r="C42" s="923">
        <v>70000</v>
      </c>
      <c r="D42" s="924"/>
      <c r="E42" s="924">
        <v>70000</v>
      </c>
      <c r="F42" s="925">
        <v>5445.96</v>
      </c>
      <c r="G42" s="917"/>
      <c r="H42" s="918">
        <f t="shared" si="1"/>
        <v>7.7799428571428575E-2</v>
      </c>
      <c r="I42" s="919"/>
      <c r="J42" s="941">
        <f>C42-F42</f>
        <v>64554.04</v>
      </c>
      <c r="K42" s="920">
        <f>L42-J42</f>
        <v>65445.96</v>
      </c>
      <c r="L42" s="306">
        <v>130000</v>
      </c>
    </row>
    <row r="43" spans="1:12 16377:16377">
      <c r="A43" s="921">
        <v>50101</v>
      </c>
      <c r="B43" s="922" t="s">
        <v>166</v>
      </c>
      <c r="C43" s="923">
        <v>10000</v>
      </c>
      <c r="D43" s="924">
        <v>0</v>
      </c>
      <c r="E43" s="924">
        <v>10000</v>
      </c>
      <c r="F43" s="925">
        <v>0</v>
      </c>
      <c r="G43" s="917"/>
      <c r="H43" s="918">
        <f t="shared" si="1"/>
        <v>0</v>
      </c>
      <c r="I43" s="919"/>
      <c r="J43" s="941">
        <v>0</v>
      </c>
      <c r="K43" s="920">
        <v>30000</v>
      </c>
      <c r="L43" s="306">
        <v>30000</v>
      </c>
    </row>
    <row r="44" spans="1:12 16377:16377">
      <c r="A44" s="921">
        <v>50102</v>
      </c>
      <c r="B44" s="922" t="s">
        <v>167</v>
      </c>
      <c r="C44" s="923"/>
      <c r="D44" s="924"/>
      <c r="E44" s="924"/>
      <c r="F44" s="925"/>
      <c r="G44" s="917"/>
      <c r="H44" s="918"/>
      <c r="I44" s="919"/>
      <c r="J44" s="941"/>
      <c r="K44" s="920">
        <v>100000</v>
      </c>
      <c r="L44" s="306">
        <f>K44</f>
        <v>100000</v>
      </c>
    </row>
    <row r="45" spans="1:12 16377:16377">
      <c r="A45" s="921">
        <v>50201</v>
      </c>
      <c r="B45" s="922" t="s">
        <v>168</v>
      </c>
      <c r="C45" s="923">
        <v>10000</v>
      </c>
      <c r="D45" s="924">
        <v>0</v>
      </c>
      <c r="E45" s="924">
        <v>10000</v>
      </c>
      <c r="F45" s="925">
        <v>1590.7</v>
      </c>
      <c r="G45" s="917"/>
      <c r="H45" s="918">
        <f t="shared" si="1"/>
        <v>0.15907000000000002</v>
      </c>
      <c r="I45" s="919"/>
      <c r="J45" s="941">
        <f>C45-F45</f>
        <v>8409.2999999999993</v>
      </c>
      <c r="K45" s="920">
        <v>10000</v>
      </c>
      <c r="L45" s="306">
        <v>10000</v>
      </c>
      <c r="XEW45" s="15">
        <f>SUM(A45:XEV45)</f>
        <v>100201.15906999999</v>
      </c>
    </row>
    <row r="46" spans="1:12 16377:16377">
      <c r="A46" s="921">
        <v>50203</v>
      </c>
      <c r="B46" s="922" t="s">
        <v>169</v>
      </c>
      <c r="C46" s="923">
        <v>50000</v>
      </c>
      <c r="D46" s="924">
        <v>0</v>
      </c>
      <c r="E46" s="924">
        <v>50000</v>
      </c>
      <c r="F46" s="925">
        <v>12724</v>
      </c>
      <c r="G46" s="917"/>
      <c r="H46" s="918">
        <f t="shared" si="1"/>
        <v>0.25447999999999998</v>
      </c>
      <c r="I46" s="919"/>
      <c r="J46" s="941">
        <v>0</v>
      </c>
      <c r="K46" s="920">
        <v>20000</v>
      </c>
      <c r="L46" s="306">
        <f>K46</f>
        <v>20000</v>
      </c>
    </row>
    <row r="47" spans="1:12 16377:16377">
      <c r="A47" s="921">
        <v>50204</v>
      </c>
      <c r="B47" s="922" t="s">
        <v>170</v>
      </c>
      <c r="C47" s="923">
        <v>251926</v>
      </c>
      <c r="D47" s="941">
        <v>20000</v>
      </c>
      <c r="E47" s="941">
        <f>150000+81926</f>
        <v>231926</v>
      </c>
      <c r="F47" s="925">
        <v>52137.89</v>
      </c>
      <c r="G47" s="917"/>
      <c r="H47" s="918">
        <f t="shared" si="1"/>
        <v>0.20695716202376888</v>
      </c>
      <c r="I47" s="919"/>
      <c r="J47" s="941"/>
      <c r="K47" s="920">
        <v>150000</v>
      </c>
      <c r="L47" s="306">
        <v>150000</v>
      </c>
    </row>
    <row r="48" spans="1:12 16377:16377">
      <c r="A48" s="921">
        <v>50300</v>
      </c>
      <c r="B48" s="922" t="s">
        <v>171</v>
      </c>
      <c r="C48" s="923">
        <v>12400</v>
      </c>
      <c r="D48" s="941">
        <v>10900</v>
      </c>
      <c r="E48" s="941">
        <v>1500</v>
      </c>
      <c r="F48" s="925">
        <v>17275.810000000001</v>
      </c>
      <c r="G48" s="917"/>
      <c r="H48" s="918">
        <f t="shared" si="1"/>
        <v>1.3932104838709678</v>
      </c>
      <c r="I48" s="919"/>
      <c r="J48" s="941">
        <f>C48-F48</f>
        <v>-4875.8100000000013</v>
      </c>
      <c r="K48" s="920">
        <v>6000</v>
      </c>
      <c r="L48" s="306">
        <v>6000</v>
      </c>
    </row>
    <row r="49" spans="1:12">
      <c r="A49" s="921">
        <v>50301</v>
      </c>
      <c r="B49" s="922" t="s">
        <v>172</v>
      </c>
      <c r="C49" s="923">
        <v>72400</v>
      </c>
      <c r="D49" s="941"/>
      <c r="E49" s="941">
        <v>72400</v>
      </c>
      <c r="F49" s="925">
        <v>41933.74</v>
      </c>
      <c r="G49" s="917"/>
      <c r="H49" s="918">
        <f t="shared" si="1"/>
        <v>0.57919530386740326</v>
      </c>
      <c r="I49" s="919"/>
      <c r="J49" s="941"/>
      <c r="K49" s="920">
        <v>45000</v>
      </c>
      <c r="L49" s="306">
        <v>45000</v>
      </c>
    </row>
    <row r="50" spans="1:12">
      <c r="A50" s="921">
        <v>50400</v>
      </c>
      <c r="B50" s="922" t="s">
        <v>173</v>
      </c>
      <c r="C50" s="923">
        <v>650000</v>
      </c>
      <c r="D50" s="941">
        <v>150000</v>
      </c>
      <c r="E50" s="941">
        <v>500000</v>
      </c>
      <c r="F50" s="925">
        <v>381876.45</v>
      </c>
      <c r="G50" s="917">
        <v>150000</v>
      </c>
      <c r="H50" s="918">
        <f t="shared" si="1"/>
        <v>0.5875022307692308</v>
      </c>
      <c r="I50" s="919">
        <v>40000</v>
      </c>
      <c r="J50" s="941">
        <v>0</v>
      </c>
      <c r="K50" s="920">
        <v>500000</v>
      </c>
      <c r="L50" s="306">
        <f>I50+K50</f>
        <v>540000</v>
      </c>
    </row>
    <row r="51" spans="1:12">
      <c r="A51" s="921">
        <v>50500</v>
      </c>
      <c r="B51" s="922" t="s">
        <v>174</v>
      </c>
      <c r="C51" s="923">
        <v>50000</v>
      </c>
      <c r="D51" s="941">
        <v>0</v>
      </c>
      <c r="E51" s="941">
        <v>50000</v>
      </c>
      <c r="F51" s="925">
        <v>12052.42</v>
      </c>
      <c r="G51" s="917"/>
      <c r="H51" s="918">
        <f t="shared" si="1"/>
        <v>0.2410484</v>
      </c>
      <c r="I51" s="919"/>
      <c r="J51" s="941">
        <v>0</v>
      </c>
      <c r="K51" s="920"/>
      <c r="L51" s="306">
        <v>20000</v>
      </c>
    </row>
    <row r="52" spans="1:12">
      <c r="A52" s="921">
        <v>50600</v>
      </c>
      <c r="B52" s="922" t="s">
        <v>175</v>
      </c>
      <c r="C52" s="923">
        <v>250000</v>
      </c>
      <c r="D52" s="941">
        <v>0</v>
      </c>
      <c r="E52" s="941">
        <v>250000</v>
      </c>
      <c r="F52" s="925">
        <v>163423.89000000001</v>
      </c>
      <c r="G52" s="917">
        <v>0</v>
      </c>
      <c r="H52" s="918">
        <f t="shared" si="1"/>
        <v>0.65369556000000006</v>
      </c>
      <c r="I52" s="919"/>
      <c r="J52" s="941">
        <f>C52-F52</f>
        <v>86576.109999999986</v>
      </c>
      <c r="K52" s="920">
        <v>213424</v>
      </c>
      <c r="L52" s="306">
        <f>J52+K52</f>
        <v>300000.11</v>
      </c>
    </row>
    <row r="53" spans="1:12">
      <c r="A53" s="921">
        <v>50700</v>
      </c>
      <c r="B53" s="922" t="s">
        <v>176</v>
      </c>
      <c r="C53" s="923">
        <v>85000</v>
      </c>
      <c r="D53" s="941">
        <v>0</v>
      </c>
      <c r="E53" s="941">
        <v>85000</v>
      </c>
      <c r="F53" s="925">
        <v>79492.73</v>
      </c>
      <c r="G53" s="917"/>
      <c r="H53" s="918">
        <f t="shared" si="1"/>
        <v>0.93520858823529407</v>
      </c>
      <c r="I53" s="919"/>
      <c r="J53" s="941">
        <f>C53-F53</f>
        <v>5507.2700000000041</v>
      </c>
      <c r="K53" s="920"/>
      <c r="L53" s="306">
        <v>80000</v>
      </c>
    </row>
    <row r="54" spans="1:12">
      <c r="A54" s="921">
        <v>50900</v>
      </c>
      <c r="B54" s="922" t="s">
        <v>177</v>
      </c>
      <c r="C54" s="923">
        <v>21748</v>
      </c>
      <c r="D54" s="924">
        <v>0</v>
      </c>
      <c r="E54" s="924">
        <v>21266</v>
      </c>
      <c r="F54" s="925">
        <v>25330.32</v>
      </c>
      <c r="G54" s="917"/>
      <c r="H54" s="918">
        <f t="shared" si="1"/>
        <v>1.1647195144381093</v>
      </c>
      <c r="I54" s="919">
        <v>15000</v>
      </c>
      <c r="J54" s="941"/>
      <c r="K54" s="920">
        <v>6000</v>
      </c>
      <c r="L54" s="306">
        <f>I54+K54</f>
        <v>21000</v>
      </c>
    </row>
    <row r="55" spans="1:12">
      <c r="A55" s="921">
        <v>60100</v>
      </c>
      <c r="B55" s="922" t="s">
        <v>178</v>
      </c>
      <c r="C55" s="923">
        <v>160000</v>
      </c>
      <c r="D55" s="924">
        <v>60000</v>
      </c>
      <c r="E55" s="924">
        <v>100000</v>
      </c>
      <c r="F55" s="925">
        <v>113435.5</v>
      </c>
      <c r="G55" s="917"/>
      <c r="H55" s="918">
        <f t="shared" si="1"/>
        <v>0.70897187500000003</v>
      </c>
      <c r="I55" s="919"/>
      <c r="J55" s="941"/>
      <c r="K55" s="920">
        <v>135000</v>
      </c>
      <c r="L55" s="306" t="s">
        <v>179</v>
      </c>
    </row>
    <row r="56" spans="1:12">
      <c r="A56" s="921">
        <v>60101</v>
      </c>
      <c r="B56" s="922" t="s">
        <v>180</v>
      </c>
      <c r="C56" s="923">
        <v>0</v>
      </c>
      <c r="D56" s="924">
        <v>0</v>
      </c>
      <c r="E56" s="924">
        <v>0</v>
      </c>
      <c r="F56" s="925">
        <v>22101.95</v>
      </c>
      <c r="G56" s="917"/>
      <c r="H56" s="918"/>
      <c r="I56" s="919"/>
      <c r="J56" s="941"/>
      <c r="K56" s="920"/>
      <c r="L56" s="306">
        <v>0</v>
      </c>
    </row>
    <row r="57" spans="1:12">
      <c r="A57" s="921">
        <v>60103</v>
      </c>
      <c r="B57" s="922" t="s">
        <v>181</v>
      </c>
      <c r="C57" s="923">
        <v>991673</v>
      </c>
      <c r="D57" s="924">
        <v>598500</v>
      </c>
      <c r="E57" s="924">
        <v>393173</v>
      </c>
      <c r="F57" s="925">
        <v>325550</v>
      </c>
      <c r="G57" s="917"/>
      <c r="H57" s="918">
        <f t="shared" ref="H57:H63" si="4">F57/C57</f>
        <v>0.32828361768445846</v>
      </c>
      <c r="I57" s="919"/>
      <c r="J57" s="941"/>
      <c r="K57" s="920"/>
      <c r="L57" s="306">
        <v>400000</v>
      </c>
    </row>
    <row r="58" spans="1:12">
      <c r="A58" s="921">
        <v>60104</v>
      </c>
      <c r="B58" s="922" t="s">
        <v>182</v>
      </c>
      <c r="C58" s="923">
        <v>50000</v>
      </c>
      <c r="D58" s="924">
        <v>0</v>
      </c>
      <c r="E58" s="924">
        <v>50000</v>
      </c>
      <c r="F58" s="925">
        <v>14366.31</v>
      </c>
      <c r="G58" s="917"/>
      <c r="H58" s="918">
        <f t="shared" si="4"/>
        <v>0.28732619999999998</v>
      </c>
      <c r="I58" s="919"/>
      <c r="J58" s="941">
        <v>0</v>
      </c>
      <c r="K58" s="920"/>
      <c r="L58" s="306">
        <v>20000</v>
      </c>
    </row>
    <row r="59" spans="1:12">
      <c r="A59" s="921">
        <v>70100</v>
      </c>
      <c r="B59" s="922" t="s">
        <v>183</v>
      </c>
      <c r="C59" s="923">
        <v>131200</v>
      </c>
      <c r="D59" s="924">
        <v>36700</v>
      </c>
      <c r="E59" s="924">
        <v>94500</v>
      </c>
      <c r="F59" s="925">
        <v>92066</v>
      </c>
      <c r="G59" s="917"/>
      <c r="H59" s="918">
        <f t="shared" si="4"/>
        <v>0.70172256097560981</v>
      </c>
      <c r="I59" s="919"/>
      <c r="J59" s="941">
        <v>0</v>
      </c>
      <c r="K59" s="920"/>
      <c r="L59" s="306">
        <v>95000</v>
      </c>
    </row>
    <row r="60" spans="1:12">
      <c r="A60" s="921">
        <v>80100</v>
      </c>
      <c r="B60" s="959" t="s">
        <v>184</v>
      </c>
      <c r="C60" s="923">
        <v>130000</v>
      </c>
      <c r="D60" s="924">
        <v>0</v>
      </c>
      <c r="E60" s="924">
        <v>130000</v>
      </c>
      <c r="F60" s="925">
        <v>62341.599999999999</v>
      </c>
      <c r="G60" s="917"/>
      <c r="H60" s="918">
        <f t="shared" si="4"/>
        <v>0.47955076923076922</v>
      </c>
      <c r="I60" s="919">
        <v>800000</v>
      </c>
      <c r="J60" s="920">
        <f>F60</f>
        <v>62341.599999999999</v>
      </c>
      <c r="K60" s="920">
        <v>130000</v>
      </c>
      <c r="L60" s="306">
        <f>I60+J60+K60</f>
        <v>992341.6</v>
      </c>
    </row>
    <row r="61" spans="1:12">
      <c r="A61" s="926">
        <v>80101</v>
      </c>
      <c r="B61" s="927" t="s">
        <v>185</v>
      </c>
      <c r="C61" s="923">
        <v>55000</v>
      </c>
      <c r="D61" s="924">
        <v>55000</v>
      </c>
      <c r="E61" s="924">
        <v>0</v>
      </c>
      <c r="F61" s="925">
        <v>529.66999999999996</v>
      </c>
      <c r="G61" s="917"/>
      <c r="H61" s="918">
        <f t="shared" si="4"/>
        <v>9.6303636363636348E-3</v>
      </c>
      <c r="J61" s="920">
        <v>0</v>
      </c>
      <c r="K61" s="920"/>
      <c r="L61" s="306">
        <v>5000</v>
      </c>
    </row>
    <row r="62" spans="1:12">
      <c r="A62" s="926">
        <v>80103</v>
      </c>
      <c r="B62" s="927" t="s">
        <v>186</v>
      </c>
      <c r="C62" s="928"/>
      <c r="D62" s="929"/>
      <c r="E62" s="929"/>
      <c r="F62" s="930">
        <v>16576.509999999998</v>
      </c>
      <c r="G62" s="931"/>
      <c r="H62" s="932"/>
      <c r="I62" s="919"/>
      <c r="J62" s="920"/>
      <c r="K62" s="920">
        <v>40000</v>
      </c>
      <c r="L62" s="306">
        <v>40000</v>
      </c>
    </row>
    <row r="63" spans="1:12" ht="14.4" thickBot="1">
      <c r="A63" s="933">
        <v>99999</v>
      </c>
      <c r="B63" s="934" t="s">
        <v>187</v>
      </c>
      <c r="C63" s="960">
        <v>7900620</v>
      </c>
      <c r="D63" s="935">
        <v>0</v>
      </c>
      <c r="E63" s="935">
        <v>7900620</v>
      </c>
      <c r="F63" s="218">
        <f>11341813-4983596.09</f>
        <v>6358216.9100000001</v>
      </c>
      <c r="G63" s="936"/>
      <c r="H63" s="937">
        <f t="shared" si="4"/>
        <v>0.80477442403254429</v>
      </c>
      <c r="I63" s="938"/>
      <c r="J63" s="939"/>
      <c r="K63" s="939"/>
      <c r="L63" s="347">
        <v>7900000</v>
      </c>
    </row>
    <row r="64" spans="1:12">
      <c r="C64" s="259">
        <f>SUM(C4:C63)</f>
        <v>34325910</v>
      </c>
      <c r="D64" s="259"/>
      <c r="E64" s="259"/>
      <c r="F64" s="222">
        <f>SUM(F3:F63)</f>
        <v>26900045.75</v>
      </c>
    </row>
    <row r="65" spans="2:13">
      <c r="C65" s="259">
        <f>SUBTOTAL(9,C11:C54)</f>
        <v>23338457</v>
      </c>
      <c r="D65" s="259"/>
      <c r="E65" s="259"/>
    </row>
    <row r="67" spans="2:13">
      <c r="B67" s="283" t="s">
        <v>188</v>
      </c>
      <c r="C67" s="283"/>
      <c r="D67" s="283"/>
      <c r="E67" s="283"/>
      <c r="F67" s="284"/>
      <c r="G67" s="284"/>
      <c r="H67" s="283"/>
      <c r="I67" s="285"/>
      <c r="J67" s="285"/>
      <c r="K67" s="285"/>
      <c r="L67" s="284">
        <f>SUM(L4:L63)</f>
        <v>33595711.427500002</v>
      </c>
      <c r="M67" s="942" t="s">
        <v>189</v>
      </c>
    </row>
    <row r="68" spans="2:13">
      <c r="B68" s="283" t="s">
        <v>190</v>
      </c>
      <c r="C68" s="283"/>
      <c r="D68" s="283"/>
      <c r="E68" s="284"/>
      <c r="F68" s="284"/>
      <c r="G68" s="284"/>
      <c r="H68" s="283"/>
      <c r="I68" s="285"/>
      <c r="J68" s="285"/>
      <c r="K68" s="285"/>
      <c r="L68" s="284">
        <f>L63+L30+L29+L27+L26+L25+L24++L23+L22+L28</f>
        <v>25024492.7775</v>
      </c>
      <c r="M68" s="942" t="s">
        <v>191</v>
      </c>
    </row>
    <row r="69" spans="2:13">
      <c r="M69" s="942"/>
    </row>
    <row r="70" spans="2:13">
      <c r="L70" s="284">
        <f>L67-L68</f>
        <v>8571218.6500000022</v>
      </c>
      <c r="M70" s="942" t="s">
        <v>192</v>
      </c>
    </row>
    <row r="71" spans="2:13">
      <c r="M71" s="942"/>
    </row>
    <row r="72" spans="2:13">
      <c r="M72" s="942"/>
    </row>
  </sheetData>
  <mergeCells count="3">
    <mergeCell ref="F2:H2"/>
    <mergeCell ref="I2:K2"/>
    <mergeCell ref="C2:E2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3BA7-7AA5-40D6-8115-CEDE5EA53D93}">
  <dimension ref="A1:AB312"/>
  <sheetViews>
    <sheetView zoomScale="82" zoomScaleNormal="82" workbookViewId="0">
      <pane ySplit="1" topLeftCell="A37" activePane="bottomLeft" state="frozen"/>
      <selection activeCell="J1" sqref="J1"/>
      <selection pane="bottomLeft" activeCell="L46" sqref="L46:L59"/>
    </sheetView>
  </sheetViews>
  <sheetFormatPr defaultColWidth="9.33203125" defaultRowHeight="13.8"/>
  <cols>
    <col min="1" max="1" width="5.6640625" style="1" bestFit="1" customWidth="1"/>
    <col min="2" max="2" width="10.6640625" style="1" customWidth="1"/>
    <col min="3" max="3" width="6" style="1" bestFit="1" customWidth="1"/>
    <col min="4" max="4" width="29.6640625" style="1" customWidth="1"/>
    <col min="5" max="5" width="9.33203125" style="61"/>
    <col min="6" max="6" width="18.109375" style="1" customWidth="1"/>
    <col min="7" max="7" width="6.44140625" style="1" bestFit="1" customWidth="1"/>
    <col min="8" max="8" width="33.33203125" style="1" customWidth="1"/>
    <col min="9" max="9" width="21.44140625" style="1" customWidth="1"/>
    <col min="10" max="10" width="9.6640625" style="1" customWidth="1"/>
    <col min="11" max="11" width="8.33203125" style="1" customWidth="1"/>
    <col min="12" max="12" width="7" style="1" bestFit="1" customWidth="1"/>
    <col min="13" max="13" width="7" style="1" customWidth="1"/>
    <col min="14" max="14" width="12.6640625" style="1" customWidth="1"/>
    <col min="15" max="15" width="47.33203125" style="1" customWidth="1"/>
    <col min="16" max="16" width="113" style="1" customWidth="1"/>
    <col min="17" max="17" width="11.33203125" style="1" customWidth="1"/>
    <col min="18" max="16384" width="9.33203125" style="1"/>
  </cols>
  <sheetData>
    <row r="1" spans="1:28" ht="55.2">
      <c r="A1" s="961" t="s">
        <v>193</v>
      </c>
      <c r="B1" s="961" t="s">
        <v>194</v>
      </c>
      <c r="C1" s="961" t="s">
        <v>195</v>
      </c>
      <c r="D1" s="961" t="s">
        <v>196</v>
      </c>
      <c r="E1" s="962" t="s">
        <v>197</v>
      </c>
      <c r="F1" s="961" t="s">
        <v>198</v>
      </c>
      <c r="G1" s="961" t="s">
        <v>199</v>
      </c>
      <c r="H1" s="961" t="s">
        <v>200</v>
      </c>
      <c r="I1" s="961" t="s">
        <v>201</v>
      </c>
      <c r="J1" s="279" t="s">
        <v>202</v>
      </c>
      <c r="K1" s="279" t="s">
        <v>203</v>
      </c>
      <c r="L1" s="279" t="s">
        <v>204</v>
      </c>
      <c r="M1" s="279" t="s">
        <v>205</v>
      </c>
      <c r="N1" s="961" t="s">
        <v>206</v>
      </c>
      <c r="O1" s="961" t="s">
        <v>207</v>
      </c>
      <c r="P1" s="961" t="s">
        <v>208</v>
      </c>
      <c r="Q1" s="961" t="s">
        <v>209</v>
      </c>
      <c r="R1" s="961" t="s">
        <v>210</v>
      </c>
      <c r="S1" s="961" t="s">
        <v>211</v>
      </c>
      <c r="T1" s="961" t="s">
        <v>212</v>
      </c>
      <c r="U1" s="961" t="s">
        <v>213</v>
      </c>
      <c r="V1" s="961" t="s">
        <v>214</v>
      </c>
      <c r="W1" s="961" t="s">
        <v>215</v>
      </c>
      <c r="X1" s="961" t="s">
        <v>216</v>
      </c>
      <c r="Y1" s="961" t="s">
        <v>217</v>
      </c>
      <c r="Z1" s="961" t="s">
        <v>218</v>
      </c>
      <c r="AA1" s="961" t="s">
        <v>219</v>
      </c>
      <c r="AB1" s="961" t="s">
        <v>220</v>
      </c>
    </row>
    <row r="2" spans="1:28" ht="82.8">
      <c r="A2" s="280"/>
      <c r="B2" s="280" t="s">
        <v>221</v>
      </c>
      <c r="C2" s="280">
        <v>2026</v>
      </c>
      <c r="D2" s="963" t="s">
        <v>222</v>
      </c>
      <c r="E2" s="964">
        <v>30307</v>
      </c>
      <c r="F2" s="280" t="s">
        <v>223</v>
      </c>
      <c r="G2" s="280"/>
      <c r="H2" s="47" t="s">
        <v>200</v>
      </c>
      <c r="I2" s="40" t="s">
        <v>224</v>
      </c>
      <c r="J2" s="2">
        <v>34859</v>
      </c>
      <c r="K2" s="280">
        <v>1</v>
      </c>
      <c r="L2" s="53">
        <f t="shared" ref="L2:L41" si="0">J2*K2</f>
        <v>34859</v>
      </c>
      <c r="M2" s="8"/>
      <c r="N2" s="280" t="s">
        <v>225</v>
      </c>
      <c r="O2" s="40" t="s">
        <v>226</v>
      </c>
      <c r="P2" s="1" t="s">
        <v>227</v>
      </c>
    </row>
    <row r="3" spans="1:28" ht="55.2">
      <c r="A3" s="280"/>
      <c r="B3" s="280" t="s">
        <v>221</v>
      </c>
      <c r="C3" s="280">
        <v>2026</v>
      </c>
      <c r="D3" s="963" t="s">
        <v>222</v>
      </c>
      <c r="E3" s="964">
        <v>30307</v>
      </c>
      <c r="F3" s="280" t="s">
        <v>228</v>
      </c>
      <c r="G3" s="280"/>
      <c r="H3" s="302" t="s">
        <v>229</v>
      </c>
      <c r="I3" s="40" t="s">
        <v>230</v>
      </c>
      <c r="J3" s="2">
        <v>90000</v>
      </c>
      <c r="K3" s="280">
        <v>1</v>
      </c>
      <c r="L3" s="53">
        <f t="shared" si="0"/>
        <v>90000</v>
      </c>
      <c r="M3" s="8"/>
      <c r="N3" s="280" t="s">
        <v>225</v>
      </c>
      <c r="O3" s="40" t="s">
        <v>231</v>
      </c>
    </row>
    <row r="4" spans="1:28" ht="220.8">
      <c r="A4" s="280"/>
      <c r="B4" s="280" t="s">
        <v>232</v>
      </c>
      <c r="C4" s="280">
        <v>2026</v>
      </c>
      <c r="D4" s="4" t="s">
        <v>233</v>
      </c>
      <c r="E4" s="964">
        <v>30315</v>
      </c>
      <c r="F4" s="280" t="s">
        <v>234</v>
      </c>
      <c r="G4" s="280">
        <v>1</v>
      </c>
      <c r="H4" s="48" t="s">
        <v>235</v>
      </c>
      <c r="I4" s="5" t="s">
        <v>236</v>
      </c>
      <c r="J4" s="2">
        <v>4000</v>
      </c>
      <c r="K4" s="280">
        <v>4</v>
      </c>
      <c r="L4" s="280">
        <f t="shared" si="0"/>
        <v>16000</v>
      </c>
      <c r="M4" s="8"/>
      <c r="N4" s="280" t="s">
        <v>237</v>
      </c>
      <c r="O4" s="5" t="s">
        <v>235</v>
      </c>
    </row>
    <row r="5" spans="1:28" ht="15" customHeight="1">
      <c r="A5" s="280"/>
      <c r="B5" s="280" t="s">
        <v>238</v>
      </c>
      <c r="C5" s="280">
        <v>2026</v>
      </c>
      <c r="D5" s="4" t="s">
        <v>233</v>
      </c>
      <c r="E5" s="964">
        <v>30315</v>
      </c>
      <c r="F5" s="280" t="s">
        <v>234</v>
      </c>
      <c r="G5" s="280">
        <v>1</v>
      </c>
      <c r="H5" s="48" t="s">
        <v>239</v>
      </c>
      <c r="I5" s="5" t="s">
        <v>239</v>
      </c>
      <c r="J5" s="2">
        <v>6000</v>
      </c>
      <c r="K5" s="280">
        <v>1</v>
      </c>
      <c r="L5" s="280">
        <f t="shared" si="0"/>
        <v>6000</v>
      </c>
      <c r="M5" s="8"/>
      <c r="N5" s="280" t="s">
        <v>240</v>
      </c>
      <c r="O5" s="280" t="s">
        <v>241</v>
      </c>
      <c r="P5" s="38" t="s">
        <v>242</v>
      </c>
      <c r="Q5" s="6"/>
      <c r="S5" s="1" t="s">
        <v>243</v>
      </c>
    </row>
    <row r="6" spans="1:28" ht="30.75" customHeight="1">
      <c r="A6" s="280"/>
      <c r="B6" s="280" t="s">
        <v>238</v>
      </c>
      <c r="C6" s="280">
        <v>2026</v>
      </c>
      <c r="D6" s="4" t="s">
        <v>233</v>
      </c>
      <c r="E6" s="964">
        <v>30315</v>
      </c>
      <c r="F6" s="280" t="s">
        <v>234</v>
      </c>
      <c r="G6" s="280">
        <v>1</v>
      </c>
      <c r="H6" s="6" t="s">
        <v>244</v>
      </c>
      <c r="I6" s="5" t="s">
        <v>245</v>
      </c>
      <c r="J6" s="2">
        <v>6000</v>
      </c>
      <c r="K6" s="280">
        <v>3</v>
      </c>
      <c r="L6" s="280">
        <f t="shared" si="0"/>
        <v>18000</v>
      </c>
      <c r="M6" s="8"/>
      <c r="N6" s="280" t="s">
        <v>240</v>
      </c>
      <c r="O6" s="5" t="s">
        <v>246</v>
      </c>
      <c r="P6" s="38" t="s">
        <v>247</v>
      </c>
      <c r="Q6" s="6"/>
      <c r="S6" s="1" t="s">
        <v>248</v>
      </c>
    </row>
    <row r="7" spans="1:28" ht="16.5" customHeight="1">
      <c r="A7" s="280"/>
      <c r="B7" s="280" t="s">
        <v>238</v>
      </c>
      <c r="C7" s="280">
        <v>2026</v>
      </c>
      <c r="D7" s="4" t="s">
        <v>233</v>
      </c>
      <c r="E7" s="964">
        <v>30315</v>
      </c>
      <c r="F7" s="280" t="s">
        <v>234</v>
      </c>
      <c r="G7" s="280">
        <v>1</v>
      </c>
      <c r="H7" s="48" t="s">
        <v>249</v>
      </c>
      <c r="I7" s="5" t="s">
        <v>249</v>
      </c>
      <c r="J7" s="2">
        <v>2200</v>
      </c>
      <c r="K7" s="280">
        <v>1</v>
      </c>
      <c r="L7" s="280">
        <f t="shared" si="0"/>
        <v>2200</v>
      </c>
      <c r="M7" s="8"/>
      <c r="N7" s="280" t="s">
        <v>240</v>
      </c>
      <c r="O7" s="5" t="s">
        <v>250</v>
      </c>
      <c r="P7" s="38" t="s">
        <v>251</v>
      </c>
      <c r="Q7" s="6"/>
      <c r="S7" s="1" t="s">
        <v>252</v>
      </c>
    </row>
    <row r="8" spans="1:28" ht="51" customHeight="1">
      <c r="A8" s="280"/>
      <c r="B8" s="280" t="s">
        <v>238</v>
      </c>
      <c r="C8" s="280">
        <v>2026</v>
      </c>
      <c r="D8" s="4" t="s">
        <v>233</v>
      </c>
      <c r="E8" s="964">
        <v>30315</v>
      </c>
      <c r="F8" s="280" t="s">
        <v>234</v>
      </c>
      <c r="G8" s="280">
        <v>1</v>
      </c>
      <c r="H8" s="48" t="s">
        <v>253</v>
      </c>
      <c r="I8" s="5" t="s">
        <v>253</v>
      </c>
      <c r="J8" s="2">
        <v>7000</v>
      </c>
      <c r="K8" s="280">
        <v>2</v>
      </c>
      <c r="L8" s="280">
        <f t="shared" si="0"/>
        <v>14000</v>
      </c>
      <c r="M8" s="8"/>
      <c r="N8" s="280" t="s">
        <v>240</v>
      </c>
      <c r="O8" s="5" t="s">
        <v>254</v>
      </c>
      <c r="P8" s="38" t="s">
        <v>255</v>
      </c>
      <c r="Q8" s="6"/>
      <c r="S8" s="1" t="s">
        <v>252</v>
      </c>
    </row>
    <row r="9" spans="1:28" ht="124.2">
      <c r="A9" s="280"/>
      <c r="B9" s="280" t="s">
        <v>238</v>
      </c>
      <c r="C9" s="280">
        <v>2026</v>
      </c>
      <c r="D9" s="4" t="s">
        <v>233</v>
      </c>
      <c r="E9" s="964">
        <v>30315</v>
      </c>
      <c r="F9" s="280" t="s">
        <v>234</v>
      </c>
      <c r="G9" s="280">
        <v>1</v>
      </c>
      <c r="H9" s="6" t="s">
        <v>256</v>
      </c>
      <c r="I9" s="5" t="s">
        <v>257</v>
      </c>
      <c r="J9" s="2">
        <v>1800</v>
      </c>
      <c r="K9" s="280">
        <v>4</v>
      </c>
      <c r="L9" s="280">
        <f t="shared" si="0"/>
        <v>7200</v>
      </c>
      <c r="M9" s="8"/>
      <c r="N9" s="280" t="s">
        <v>240</v>
      </c>
      <c r="O9" s="5" t="s">
        <v>258</v>
      </c>
      <c r="P9" s="38" t="s">
        <v>259</v>
      </c>
      <c r="Q9" s="6"/>
    </row>
    <row r="10" spans="1:28" ht="31.5" customHeight="1">
      <c r="A10" s="280"/>
      <c r="B10" s="280" t="s">
        <v>221</v>
      </c>
      <c r="C10" s="280">
        <v>2026</v>
      </c>
      <c r="D10" s="4" t="s">
        <v>260</v>
      </c>
      <c r="E10" s="964">
        <v>50900</v>
      </c>
      <c r="F10" s="280" t="s">
        <v>177</v>
      </c>
      <c r="G10" s="280">
        <v>1</v>
      </c>
      <c r="H10" s="48" t="s">
        <v>261</v>
      </c>
      <c r="I10" s="41" t="s">
        <v>262</v>
      </c>
      <c r="J10" s="2">
        <v>15000</v>
      </c>
      <c r="K10" s="280">
        <v>1</v>
      </c>
      <c r="L10" s="280">
        <f t="shared" si="0"/>
        <v>15000</v>
      </c>
      <c r="M10" s="8" t="s">
        <v>263</v>
      </c>
      <c r="N10" s="280" t="s">
        <v>264</v>
      </c>
      <c r="O10" s="41" t="s">
        <v>265</v>
      </c>
    </row>
    <row r="11" spans="1:28" ht="124.2">
      <c r="A11" s="280"/>
      <c r="B11" s="280" t="s">
        <v>232</v>
      </c>
      <c r="C11" s="280">
        <v>2026</v>
      </c>
      <c r="D11" s="4" t="s">
        <v>260</v>
      </c>
      <c r="E11" s="964">
        <v>50900</v>
      </c>
      <c r="F11" s="280" t="s">
        <v>177</v>
      </c>
      <c r="G11" s="280">
        <v>2</v>
      </c>
      <c r="H11" s="48" t="s">
        <v>266</v>
      </c>
      <c r="I11" s="5" t="s">
        <v>267</v>
      </c>
      <c r="J11" s="2">
        <v>3000</v>
      </c>
      <c r="K11" s="280">
        <v>2</v>
      </c>
      <c r="L11" s="280">
        <f t="shared" si="0"/>
        <v>6000</v>
      </c>
      <c r="M11" s="8"/>
      <c r="N11" s="280" t="s">
        <v>264</v>
      </c>
      <c r="O11" s="5" t="s">
        <v>268</v>
      </c>
      <c r="P11" s="1" t="s">
        <v>269</v>
      </c>
    </row>
    <row r="12" spans="1:28" ht="21.75" customHeight="1">
      <c r="A12" s="280"/>
      <c r="B12" s="280" t="s">
        <v>238</v>
      </c>
      <c r="C12" s="280">
        <v>2026</v>
      </c>
      <c r="D12" s="4" t="s">
        <v>260</v>
      </c>
      <c r="E12" s="964">
        <v>50900</v>
      </c>
      <c r="F12" s="280" t="s">
        <v>177</v>
      </c>
      <c r="G12" s="280">
        <v>1</v>
      </c>
      <c r="H12" s="48" t="s">
        <v>270</v>
      </c>
      <c r="I12" s="5" t="s">
        <v>271</v>
      </c>
      <c r="J12" s="2">
        <v>80000</v>
      </c>
      <c r="K12" s="280">
        <v>1</v>
      </c>
      <c r="L12" s="280">
        <f t="shared" si="0"/>
        <v>80000</v>
      </c>
      <c r="M12" s="8"/>
      <c r="N12" s="280" t="s">
        <v>264</v>
      </c>
      <c r="O12" s="5" t="s">
        <v>272</v>
      </c>
      <c r="P12" s="1" t="s">
        <v>238</v>
      </c>
    </row>
    <row r="13" spans="1:28" ht="69">
      <c r="A13" s="280"/>
      <c r="B13" s="280" t="s">
        <v>232</v>
      </c>
      <c r="C13" s="280">
        <v>2026</v>
      </c>
      <c r="D13" s="4" t="s">
        <v>260</v>
      </c>
      <c r="E13" s="964">
        <v>50900</v>
      </c>
      <c r="F13" s="280" t="s">
        <v>177</v>
      </c>
      <c r="G13" s="280">
        <v>1</v>
      </c>
      <c r="H13" s="41" t="s">
        <v>273</v>
      </c>
      <c r="I13" s="42" t="s">
        <v>274</v>
      </c>
      <c r="J13" s="2">
        <v>6000</v>
      </c>
      <c r="K13" s="280">
        <v>1</v>
      </c>
      <c r="L13" s="280">
        <f t="shared" si="0"/>
        <v>6000</v>
      </c>
      <c r="M13" s="8"/>
      <c r="N13" s="280" t="s">
        <v>264</v>
      </c>
      <c r="O13" s="41" t="s">
        <v>275</v>
      </c>
      <c r="P13" s="1" t="s">
        <v>269</v>
      </c>
    </row>
    <row r="14" spans="1:28" ht="33.6" customHeight="1">
      <c r="A14" s="280"/>
      <c r="B14" s="280" t="s">
        <v>221</v>
      </c>
      <c r="C14" s="280">
        <v>2026</v>
      </c>
      <c r="D14" s="7" t="s">
        <v>276</v>
      </c>
      <c r="E14" s="964">
        <v>30308</v>
      </c>
      <c r="F14" s="280" t="s">
        <v>277</v>
      </c>
      <c r="G14" s="280"/>
      <c r="H14" s="5" t="s">
        <v>278</v>
      </c>
      <c r="I14" s="5" t="s">
        <v>279</v>
      </c>
      <c r="J14" s="98">
        <v>7000</v>
      </c>
      <c r="K14" s="280">
        <v>1</v>
      </c>
      <c r="L14" s="273">
        <f t="shared" si="0"/>
        <v>7000</v>
      </c>
      <c r="M14" s="273" t="s">
        <v>263</v>
      </c>
      <c r="N14" s="280" t="s">
        <v>280</v>
      </c>
      <c r="O14" s="5" t="s">
        <v>281</v>
      </c>
      <c r="P14" s="1" t="s">
        <v>282</v>
      </c>
    </row>
    <row r="15" spans="1:28" ht="82.8">
      <c r="A15" s="280"/>
      <c r="B15" s="280" t="s">
        <v>221</v>
      </c>
      <c r="C15" s="280">
        <v>2026</v>
      </c>
      <c r="D15" s="7" t="s">
        <v>276</v>
      </c>
      <c r="E15" s="964">
        <v>30308</v>
      </c>
      <c r="F15" s="280" t="s">
        <v>277</v>
      </c>
      <c r="G15" s="280"/>
      <c r="H15" s="5" t="s">
        <v>278</v>
      </c>
      <c r="I15" s="5" t="s">
        <v>283</v>
      </c>
      <c r="J15" s="98">
        <v>11300</v>
      </c>
      <c r="K15" s="280">
        <v>1</v>
      </c>
      <c r="L15" s="53">
        <f t="shared" si="0"/>
        <v>11300</v>
      </c>
      <c r="M15" s="53"/>
      <c r="N15" s="280" t="s">
        <v>280</v>
      </c>
      <c r="O15" s="5" t="s">
        <v>284</v>
      </c>
      <c r="P15" s="1" t="s">
        <v>285</v>
      </c>
    </row>
    <row r="16" spans="1:28" ht="138">
      <c r="A16" s="280"/>
      <c r="B16" s="280" t="s">
        <v>221</v>
      </c>
      <c r="C16" s="280">
        <v>2026</v>
      </c>
      <c r="D16" s="7" t="s">
        <v>276</v>
      </c>
      <c r="E16" s="964">
        <v>30308</v>
      </c>
      <c r="F16" s="280" t="s">
        <v>277</v>
      </c>
      <c r="G16" s="280"/>
      <c r="H16" s="5" t="s">
        <v>278</v>
      </c>
      <c r="I16" s="5" t="s">
        <v>286</v>
      </c>
      <c r="J16" s="98">
        <v>10000</v>
      </c>
      <c r="K16" s="280">
        <v>1</v>
      </c>
      <c r="L16" s="273">
        <f t="shared" si="0"/>
        <v>10000</v>
      </c>
      <c r="M16" s="273" t="s">
        <v>263</v>
      </c>
      <c r="N16" s="280" t="s">
        <v>280</v>
      </c>
      <c r="O16" s="5" t="s">
        <v>287</v>
      </c>
      <c r="P16" s="1" t="s">
        <v>288</v>
      </c>
    </row>
    <row r="17" spans="1:16" ht="55.2">
      <c r="A17" s="280"/>
      <c r="B17" s="280" t="s">
        <v>221</v>
      </c>
      <c r="C17" s="280">
        <v>2026</v>
      </c>
      <c r="D17" s="7" t="s">
        <v>276</v>
      </c>
      <c r="E17" s="964">
        <v>30308</v>
      </c>
      <c r="F17" s="280" t="s">
        <v>277</v>
      </c>
      <c r="G17" s="280"/>
      <c r="H17" s="5" t="s">
        <v>278</v>
      </c>
      <c r="I17" s="5" t="s">
        <v>289</v>
      </c>
      <c r="J17" s="98">
        <v>16000</v>
      </c>
      <c r="K17" s="280">
        <v>1</v>
      </c>
      <c r="L17" s="273">
        <f t="shared" si="0"/>
        <v>16000</v>
      </c>
      <c r="M17" s="273" t="s">
        <v>263</v>
      </c>
      <c r="N17" s="280" t="s">
        <v>280</v>
      </c>
      <c r="O17" s="5" t="s">
        <v>290</v>
      </c>
      <c r="P17" s="1" t="s">
        <v>291</v>
      </c>
    </row>
    <row r="18" spans="1:16" ht="55.2">
      <c r="A18" s="280"/>
      <c r="B18" s="280" t="s">
        <v>221</v>
      </c>
      <c r="C18" s="280">
        <v>2026</v>
      </c>
      <c r="D18" s="7" t="s">
        <v>276</v>
      </c>
      <c r="E18" s="964">
        <v>30308</v>
      </c>
      <c r="F18" s="280" t="s">
        <v>277</v>
      </c>
      <c r="G18" s="280"/>
      <c r="H18" s="5" t="s">
        <v>278</v>
      </c>
      <c r="I18" s="5" t="s">
        <v>292</v>
      </c>
      <c r="J18" s="98">
        <v>1000</v>
      </c>
      <c r="K18" s="280">
        <v>1</v>
      </c>
      <c r="L18" s="53">
        <f t="shared" si="0"/>
        <v>1000</v>
      </c>
      <c r="M18" s="8"/>
      <c r="N18" s="280" t="s">
        <v>280</v>
      </c>
      <c r="O18" s="5" t="s">
        <v>293</v>
      </c>
      <c r="P18" s="1" t="s">
        <v>294</v>
      </c>
    </row>
    <row r="19" spans="1:16" ht="27.6">
      <c r="A19" s="280"/>
      <c r="B19" s="280" t="s">
        <v>269</v>
      </c>
      <c r="C19" s="280">
        <v>2026</v>
      </c>
      <c r="D19" s="7" t="s">
        <v>276</v>
      </c>
      <c r="E19" s="964">
        <v>80100</v>
      </c>
      <c r="F19" s="5" t="s">
        <v>295</v>
      </c>
      <c r="G19" s="280"/>
      <c r="H19" s="5" t="s">
        <v>296</v>
      </c>
      <c r="I19" s="5" t="s">
        <v>296</v>
      </c>
      <c r="J19" s="274">
        <v>10000</v>
      </c>
      <c r="K19" s="280">
        <v>1</v>
      </c>
      <c r="L19" s="280">
        <f t="shared" si="0"/>
        <v>10000</v>
      </c>
      <c r="M19" s="8"/>
      <c r="N19" s="280" t="s">
        <v>280</v>
      </c>
      <c r="O19" s="5" t="s">
        <v>297</v>
      </c>
    </row>
    <row r="20" spans="1:16" ht="27.6">
      <c r="A20" s="280"/>
      <c r="B20" s="280" t="s">
        <v>269</v>
      </c>
      <c r="C20" s="280">
        <v>2026</v>
      </c>
      <c r="D20" s="7" t="s">
        <v>276</v>
      </c>
      <c r="E20" s="964">
        <v>80100</v>
      </c>
      <c r="F20" s="5" t="s">
        <v>295</v>
      </c>
      <c r="G20" s="280"/>
      <c r="H20" s="5"/>
      <c r="I20" s="5"/>
      <c r="J20" s="274">
        <v>10000</v>
      </c>
      <c r="K20" s="280">
        <v>3</v>
      </c>
      <c r="L20" s="280">
        <f t="shared" si="0"/>
        <v>30000</v>
      </c>
      <c r="M20" s="8"/>
      <c r="N20" s="280" t="s">
        <v>280</v>
      </c>
      <c r="O20" s="5" t="s">
        <v>298</v>
      </c>
    </row>
    <row r="21" spans="1:16" ht="27.6">
      <c r="A21" s="280"/>
      <c r="B21" s="280" t="s">
        <v>269</v>
      </c>
      <c r="C21" s="280">
        <v>2026</v>
      </c>
      <c r="D21" s="7" t="s">
        <v>276</v>
      </c>
      <c r="E21" s="964">
        <v>80100</v>
      </c>
      <c r="F21" s="5" t="s">
        <v>295</v>
      </c>
      <c r="G21" s="280"/>
      <c r="H21" s="5"/>
      <c r="I21" s="5"/>
      <c r="J21" s="274">
        <v>80000</v>
      </c>
      <c r="K21" s="280">
        <v>1</v>
      </c>
      <c r="L21" s="280">
        <f t="shared" si="0"/>
        <v>80000</v>
      </c>
      <c r="M21" s="8"/>
      <c r="N21" s="280" t="s">
        <v>280</v>
      </c>
      <c r="O21" s="5" t="s">
        <v>299</v>
      </c>
    </row>
    <row r="22" spans="1:16" ht="27.6">
      <c r="A22" s="280"/>
      <c r="B22" s="280" t="s">
        <v>269</v>
      </c>
      <c r="C22" s="280">
        <v>2026</v>
      </c>
      <c r="D22" s="7" t="s">
        <v>276</v>
      </c>
      <c r="E22" s="964">
        <v>80100</v>
      </c>
      <c r="F22" s="5" t="s">
        <v>295</v>
      </c>
      <c r="G22" s="280"/>
      <c r="H22" s="48"/>
      <c r="I22" s="5"/>
      <c r="J22" s="274">
        <v>40000</v>
      </c>
      <c r="K22" s="280">
        <v>1</v>
      </c>
      <c r="L22" s="280">
        <f t="shared" si="0"/>
        <v>40000</v>
      </c>
      <c r="M22" s="8"/>
      <c r="N22" s="280" t="s">
        <v>280</v>
      </c>
      <c r="O22" s="5" t="s">
        <v>300</v>
      </c>
    </row>
    <row r="23" spans="1:16" ht="27.6">
      <c r="A23" s="280"/>
      <c r="B23" s="280" t="s">
        <v>269</v>
      </c>
      <c r="C23" s="280">
        <v>2026</v>
      </c>
      <c r="D23" s="7" t="s">
        <v>276</v>
      </c>
      <c r="E23" s="964">
        <v>80100</v>
      </c>
      <c r="F23" s="5" t="s">
        <v>295</v>
      </c>
      <c r="G23" s="280">
        <v>1</v>
      </c>
      <c r="H23" s="10" t="s">
        <v>301</v>
      </c>
      <c r="I23" s="5"/>
      <c r="J23" s="64">
        <v>350000</v>
      </c>
      <c r="K23" s="280">
        <v>1</v>
      </c>
      <c r="L23" s="280">
        <f t="shared" si="0"/>
        <v>350000</v>
      </c>
      <c r="M23" s="8" t="s">
        <v>263</v>
      </c>
      <c r="N23" s="280" t="s">
        <v>280</v>
      </c>
      <c r="O23" s="10" t="s">
        <v>302</v>
      </c>
    </row>
    <row r="24" spans="1:16" ht="13.5" customHeight="1">
      <c r="A24" s="280"/>
      <c r="B24" s="280" t="s">
        <v>269</v>
      </c>
      <c r="C24" s="280">
        <v>2026</v>
      </c>
      <c r="D24" s="7" t="s">
        <v>276</v>
      </c>
      <c r="E24" s="964">
        <v>80100</v>
      </c>
      <c r="F24" s="5" t="s">
        <v>295</v>
      </c>
      <c r="G24" s="280">
        <v>1</v>
      </c>
      <c r="H24" s="10" t="s">
        <v>303</v>
      </c>
      <c r="I24" s="5"/>
      <c r="J24" s="64">
        <v>160000</v>
      </c>
      <c r="K24" s="280">
        <v>1</v>
      </c>
      <c r="L24" s="280">
        <f t="shared" si="0"/>
        <v>160000</v>
      </c>
      <c r="M24" s="8" t="s">
        <v>263</v>
      </c>
      <c r="N24" s="280" t="s">
        <v>280</v>
      </c>
      <c r="O24" s="10" t="s">
        <v>304</v>
      </c>
    </row>
    <row r="25" spans="1:16" ht="27.6">
      <c r="A25" s="280"/>
      <c r="B25" s="280" t="s">
        <v>232</v>
      </c>
      <c r="C25" s="280">
        <v>2026</v>
      </c>
      <c r="D25" s="7" t="s">
        <v>276</v>
      </c>
      <c r="E25" s="964">
        <v>80100</v>
      </c>
      <c r="F25" s="5" t="s">
        <v>295</v>
      </c>
      <c r="G25" s="280"/>
      <c r="H25" s="48"/>
      <c r="I25" s="5"/>
      <c r="J25" s="274">
        <v>1000</v>
      </c>
      <c r="K25" s="280">
        <v>12</v>
      </c>
      <c r="L25" s="280">
        <f t="shared" si="0"/>
        <v>12000</v>
      </c>
      <c r="M25" s="8"/>
      <c r="N25" s="280" t="s">
        <v>280</v>
      </c>
      <c r="O25" s="5" t="s">
        <v>305</v>
      </c>
    </row>
    <row r="26" spans="1:16" ht="27.6">
      <c r="A26" s="280"/>
      <c r="B26" s="280" t="s">
        <v>238</v>
      </c>
      <c r="C26" s="280">
        <v>2026</v>
      </c>
      <c r="D26" s="7" t="s">
        <v>276</v>
      </c>
      <c r="E26" s="964">
        <v>80100</v>
      </c>
      <c r="F26" s="5" t="s">
        <v>295</v>
      </c>
      <c r="G26" s="280"/>
      <c r="H26" s="48"/>
      <c r="I26" s="5"/>
      <c r="J26" s="274">
        <v>30000</v>
      </c>
      <c r="K26" s="280">
        <v>1</v>
      </c>
      <c r="L26" s="280">
        <f t="shared" si="0"/>
        <v>30000</v>
      </c>
      <c r="M26" s="8"/>
      <c r="N26" s="280" t="s">
        <v>280</v>
      </c>
      <c r="O26" s="280"/>
    </row>
    <row r="27" spans="1:16" ht="69">
      <c r="A27" s="280"/>
      <c r="B27" s="280" t="s">
        <v>238</v>
      </c>
      <c r="C27" s="280">
        <v>2026</v>
      </c>
      <c r="D27" s="7" t="s">
        <v>276</v>
      </c>
      <c r="E27" s="964">
        <v>80100</v>
      </c>
      <c r="F27" s="5" t="s">
        <v>295</v>
      </c>
      <c r="G27" s="280"/>
      <c r="H27" s="48" t="s">
        <v>306</v>
      </c>
      <c r="I27" s="5" t="s">
        <v>306</v>
      </c>
      <c r="J27" s="274">
        <v>15000</v>
      </c>
      <c r="K27" s="280">
        <v>1</v>
      </c>
      <c r="L27" s="280">
        <f t="shared" si="0"/>
        <v>15000</v>
      </c>
      <c r="M27" s="8"/>
      <c r="N27" s="280" t="s">
        <v>280</v>
      </c>
      <c r="O27" s="5" t="s">
        <v>307</v>
      </c>
    </row>
    <row r="28" spans="1:16" ht="27.6">
      <c r="A28" s="280"/>
      <c r="B28" s="280" t="s">
        <v>238</v>
      </c>
      <c r="C28" s="280">
        <v>2026</v>
      </c>
      <c r="D28" s="7" t="s">
        <v>276</v>
      </c>
      <c r="E28" s="964">
        <v>80100</v>
      </c>
      <c r="F28" s="5" t="s">
        <v>295</v>
      </c>
      <c r="G28" s="280"/>
      <c r="H28" s="48"/>
      <c r="I28" s="5"/>
      <c r="J28" s="274">
        <v>1000</v>
      </c>
      <c r="K28" s="280">
        <v>1</v>
      </c>
      <c r="L28" s="280">
        <f t="shared" si="0"/>
        <v>1000</v>
      </c>
      <c r="M28" s="8"/>
      <c r="N28" s="280" t="s">
        <v>280</v>
      </c>
      <c r="O28" s="5" t="s">
        <v>308</v>
      </c>
    </row>
    <row r="29" spans="1:16" ht="82.8">
      <c r="A29" s="280"/>
      <c r="B29" s="280" t="s">
        <v>221</v>
      </c>
      <c r="C29" s="280">
        <v>2026</v>
      </c>
      <c r="D29" s="7" t="s">
        <v>276</v>
      </c>
      <c r="E29" s="964">
        <v>80100</v>
      </c>
      <c r="F29" s="5" t="s">
        <v>295</v>
      </c>
      <c r="G29" s="280"/>
      <c r="H29" s="48" t="s">
        <v>309</v>
      </c>
      <c r="I29" s="5" t="s">
        <v>309</v>
      </c>
      <c r="J29" s="98">
        <v>300000</v>
      </c>
      <c r="K29" s="280">
        <v>1</v>
      </c>
      <c r="L29" s="280">
        <f t="shared" si="0"/>
        <v>300000</v>
      </c>
      <c r="M29" s="8" t="s">
        <v>263</v>
      </c>
      <c r="N29" s="280" t="s">
        <v>280</v>
      </c>
      <c r="O29" s="5" t="s">
        <v>310</v>
      </c>
      <c r="P29" s="1" t="s">
        <v>311</v>
      </c>
    </row>
    <row r="30" spans="1:16" ht="96.6">
      <c r="A30" s="280"/>
      <c r="B30" s="280" t="s">
        <v>221</v>
      </c>
      <c r="C30" s="280">
        <v>2026</v>
      </c>
      <c r="D30" s="7" t="s">
        <v>276</v>
      </c>
      <c r="E30" s="964">
        <v>80100</v>
      </c>
      <c r="F30" s="5" t="s">
        <v>295</v>
      </c>
      <c r="G30" s="280"/>
      <c r="H30" s="48" t="s">
        <v>312</v>
      </c>
      <c r="I30" s="5" t="s">
        <v>312</v>
      </c>
      <c r="J30" s="274">
        <v>50000</v>
      </c>
      <c r="K30" s="280">
        <v>1</v>
      </c>
      <c r="L30" s="280">
        <f t="shared" si="0"/>
        <v>50000</v>
      </c>
      <c r="M30" s="8"/>
      <c r="N30" s="280" t="s">
        <v>280</v>
      </c>
      <c r="O30" s="5" t="s">
        <v>313</v>
      </c>
    </row>
    <row r="31" spans="1:16" ht="27.6">
      <c r="A31" s="280"/>
      <c r="B31" s="280" t="s">
        <v>314</v>
      </c>
      <c r="C31" s="280">
        <v>2026</v>
      </c>
      <c r="D31" s="7" t="s">
        <v>276</v>
      </c>
      <c r="E31" s="964">
        <v>80100</v>
      </c>
      <c r="F31" s="5" t="s">
        <v>295</v>
      </c>
      <c r="G31" s="280">
        <v>1</v>
      </c>
      <c r="H31" s="10" t="s">
        <v>315</v>
      </c>
      <c r="I31" s="5"/>
      <c r="J31" s="64">
        <v>50000</v>
      </c>
      <c r="K31" s="54">
        <v>1</v>
      </c>
      <c r="L31" s="280"/>
      <c r="M31" s="8"/>
      <c r="N31" s="280" t="s">
        <v>280</v>
      </c>
      <c r="O31" s="10" t="s">
        <v>316</v>
      </c>
    </row>
    <row r="32" spans="1:16" ht="27.6">
      <c r="A32" s="280"/>
      <c r="B32" s="280" t="s">
        <v>314</v>
      </c>
      <c r="C32" s="280">
        <v>2026</v>
      </c>
      <c r="D32" s="7" t="s">
        <v>276</v>
      </c>
      <c r="E32" s="964">
        <v>80100</v>
      </c>
      <c r="F32" s="5" t="s">
        <v>295</v>
      </c>
      <c r="G32" s="280">
        <v>1</v>
      </c>
      <c r="H32" s="10" t="s">
        <v>317</v>
      </c>
      <c r="I32" s="5"/>
      <c r="J32" s="275">
        <v>250000</v>
      </c>
      <c r="K32" s="54">
        <v>1</v>
      </c>
      <c r="L32" s="280"/>
      <c r="M32" s="8"/>
      <c r="N32" s="280" t="s">
        <v>280</v>
      </c>
      <c r="O32" s="10" t="s">
        <v>318</v>
      </c>
      <c r="P32" s="1" t="s">
        <v>319</v>
      </c>
    </row>
    <row r="33" spans="1:16" ht="41.4">
      <c r="A33" s="280"/>
      <c r="B33" s="280" t="s">
        <v>314</v>
      </c>
      <c r="C33" s="280">
        <v>2026</v>
      </c>
      <c r="D33" s="7" t="s">
        <v>276</v>
      </c>
      <c r="E33" s="964">
        <v>80100</v>
      </c>
      <c r="F33" s="5" t="s">
        <v>295</v>
      </c>
      <c r="G33" s="280">
        <v>1</v>
      </c>
      <c r="H33" s="10" t="s">
        <v>320</v>
      </c>
      <c r="I33" s="5"/>
      <c r="J33" s="275">
        <v>1300000</v>
      </c>
      <c r="K33" s="54">
        <v>1</v>
      </c>
      <c r="L33" s="280"/>
      <c r="M33" s="8"/>
      <c r="N33" s="280" t="s">
        <v>280</v>
      </c>
      <c r="O33" s="10" t="s">
        <v>321</v>
      </c>
      <c r="P33" s="1" t="s">
        <v>322</v>
      </c>
    </row>
    <row r="34" spans="1:16" ht="27.6">
      <c r="A34" s="280"/>
      <c r="B34" s="280" t="s">
        <v>314</v>
      </c>
      <c r="C34" s="280">
        <v>2026</v>
      </c>
      <c r="D34" s="7" t="s">
        <v>276</v>
      </c>
      <c r="E34" s="964">
        <v>80100</v>
      </c>
      <c r="F34" s="5" t="s">
        <v>295</v>
      </c>
      <c r="G34" s="280">
        <v>2</v>
      </c>
      <c r="H34" s="10" t="s">
        <v>320</v>
      </c>
      <c r="I34" s="5"/>
      <c r="J34" s="275">
        <v>1500000</v>
      </c>
      <c r="K34" s="54">
        <v>1</v>
      </c>
      <c r="L34" s="280"/>
      <c r="M34" s="8"/>
      <c r="N34" s="280" t="s">
        <v>280</v>
      </c>
      <c r="O34" s="10" t="s">
        <v>323</v>
      </c>
    </row>
    <row r="35" spans="1:16" ht="27.6">
      <c r="A35" s="280"/>
      <c r="B35" s="280" t="s">
        <v>314</v>
      </c>
      <c r="C35" s="280">
        <v>2026</v>
      </c>
      <c r="D35" s="7" t="s">
        <v>276</v>
      </c>
      <c r="E35" s="964">
        <v>80100</v>
      </c>
      <c r="F35" s="5" t="s">
        <v>295</v>
      </c>
      <c r="G35" s="280">
        <v>3</v>
      </c>
      <c r="H35" s="10" t="s">
        <v>320</v>
      </c>
      <c r="I35" s="5"/>
      <c r="J35" s="275">
        <v>4000000</v>
      </c>
      <c r="K35" s="54">
        <v>1</v>
      </c>
      <c r="L35" s="280"/>
      <c r="M35" s="8"/>
      <c r="N35" s="280" t="s">
        <v>280</v>
      </c>
      <c r="O35" s="10" t="s">
        <v>324</v>
      </c>
      <c r="P35" s="3">
        <f>J23+J24+J29+J31</f>
        <v>860000</v>
      </c>
    </row>
    <row r="36" spans="1:16" ht="27.6">
      <c r="A36" s="280"/>
      <c r="B36" s="280" t="s">
        <v>314</v>
      </c>
      <c r="C36" s="280">
        <v>2026</v>
      </c>
      <c r="D36" s="7" t="s">
        <v>276</v>
      </c>
      <c r="E36" s="964">
        <v>80100</v>
      </c>
      <c r="F36" s="5" t="s">
        <v>295</v>
      </c>
      <c r="G36" s="280">
        <v>1</v>
      </c>
      <c r="H36" s="10" t="s">
        <v>325</v>
      </c>
      <c r="I36" s="5"/>
      <c r="J36" s="64">
        <v>300000</v>
      </c>
      <c r="K36" s="54">
        <v>1</v>
      </c>
      <c r="L36" s="280"/>
      <c r="M36" s="8"/>
      <c r="N36" s="280"/>
      <c r="O36" s="5"/>
      <c r="P36" s="1" t="s">
        <v>326</v>
      </c>
    </row>
    <row r="37" spans="1:16" ht="62.4" customHeight="1">
      <c r="A37" s="280"/>
      <c r="B37" s="280" t="s">
        <v>221</v>
      </c>
      <c r="C37" s="280">
        <v>2026</v>
      </c>
      <c r="D37" s="963" t="s">
        <v>327</v>
      </c>
      <c r="E37" s="964">
        <v>30324</v>
      </c>
      <c r="F37" s="5" t="s">
        <v>328</v>
      </c>
      <c r="G37" s="280"/>
      <c r="H37" s="49" t="s">
        <v>329</v>
      </c>
      <c r="I37" s="9" t="s">
        <v>330</v>
      </c>
      <c r="J37" s="5">
        <v>100000</v>
      </c>
      <c r="K37" s="280">
        <v>1</v>
      </c>
      <c r="L37" s="300">
        <v>50000</v>
      </c>
      <c r="M37" s="8"/>
      <c r="N37" s="9" t="s">
        <v>331</v>
      </c>
      <c r="O37" s="9" t="s">
        <v>329</v>
      </c>
      <c r="P37" s="1" t="s">
        <v>332</v>
      </c>
    </row>
    <row r="38" spans="1:16" ht="96.6">
      <c r="A38" s="280"/>
      <c r="B38" s="280" t="s">
        <v>221</v>
      </c>
      <c r="C38" s="280">
        <v>2026</v>
      </c>
      <c r="D38" s="280"/>
      <c r="E38" s="964">
        <v>30324</v>
      </c>
      <c r="F38" s="5" t="s">
        <v>328</v>
      </c>
      <c r="G38" s="280"/>
      <c r="H38" s="49" t="s">
        <v>333</v>
      </c>
      <c r="I38" s="9" t="s">
        <v>334</v>
      </c>
      <c r="J38" s="5">
        <v>30000</v>
      </c>
      <c r="K38" s="280">
        <v>1</v>
      </c>
      <c r="L38" s="300">
        <f t="shared" si="0"/>
        <v>30000</v>
      </c>
      <c r="M38" s="8"/>
      <c r="N38" s="9" t="s">
        <v>331</v>
      </c>
      <c r="O38" s="9" t="s">
        <v>333</v>
      </c>
    </row>
    <row r="39" spans="1:16" ht="41.4">
      <c r="A39" s="280"/>
      <c r="B39" s="280" t="s">
        <v>221</v>
      </c>
      <c r="C39" s="280">
        <v>2026</v>
      </c>
      <c r="D39" s="280"/>
      <c r="E39" s="964">
        <v>30324</v>
      </c>
      <c r="F39" s="5" t="s">
        <v>328</v>
      </c>
      <c r="G39" s="280"/>
      <c r="H39" s="49" t="s">
        <v>335</v>
      </c>
      <c r="I39" s="9" t="s">
        <v>336</v>
      </c>
      <c r="J39" s="5">
        <v>10000</v>
      </c>
      <c r="K39" s="280">
        <v>1</v>
      </c>
      <c r="L39" s="53">
        <f t="shared" si="0"/>
        <v>10000</v>
      </c>
      <c r="M39" s="8"/>
      <c r="N39" s="9" t="s">
        <v>331</v>
      </c>
      <c r="O39" s="9" t="s">
        <v>335</v>
      </c>
      <c r="P39" s="1" t="s">
        <v>337</v>
      </c>
    </row>
    <row r="40" spans="1:16" ht="41.4">
      <c r="A40" s="280"/>
      <c r="B40" s="280" t="s">
        <v>221</v>
      </c>
      <c r="C40" s="280">
        <v>2026</v>
      </c>
      <c r="D40" s="280"/>
      <c r="E40" s="964">
        <v>30324</v>
      </c>
      <c r="F40" s="5" t="s">
        <v>328</v>
      </c>
      <c r="G40" s="280"/>
      <c r="H40" s="49" t="s">
        <v>338</v>
      </c>
      <c r="I40" s="9" t="s">
        <v>336</v>
      </c>
      <c r="J40" s="5">
        <v>10000</v>
      </c>
      <c r="K40" s="280">
        <v>1</v>
      </c>
      <c r="L40" s="280">
        <f t="shared" si="0"/>
        <v>10000</v>
      </c>
      <c r="M40" s="8"/>
      <c r="N40" s="9" t="s">
        <v>331</v>
      </c>
      <c r="O40" s="9" t="s">
        <v>338</v>
      </c>
    </row>
    <row r="41" spans="1:16" ht="27.6">
      <c r="A41" s="280"/>
      <c r="B41" s="280" t="s">
        <v>238</v>
      </c>
      <c r="C41" s="280">
        <v>2026</v>
      </c>
      <c r="D41" s="280"/>
      <c r="E41" s="964">
        <v>30324</v>
      </c>
      <c r="F41" s="5" t="s">
        <v>328</v>
      </c>
      <c r="G41" s="280"/>
      <c r="H41" s="49" t="s">
        <v>339</v>
      </c>
      <c r="I41" s="9" t="s">
        <v>340</v>
      </c>
      <c r="J41" s="5">
        <v>5000</v>
      </c>
      <c r="K41" s="280">
        <v>1</v>
      </c>
      <c r="L41" s="280">
        <f t="shared" si="0"/>
        <v>5000</v>
      </c>
      <c r="M41" s="8"/>
      <c r="N41" s="9" t="s">
        <v>331</v>
      </c>
      <c r="O41" s="9" t="s">
        <v>339</v>
      </c>
    </row>
    <row r="42" spans="1:16" ht="82.8">
      <c r="A42" s="280"/>
      <c r="B42" s="280" t="s">
        <v>221</v>
      </c>
      <c r="C42" s="280">
        <v>2026</v>
      </c>
      <c r="D42" s="280"/>
      <c r="E42" s="964">
        <v>30324</v>
      </c>
      <c r="F42" s="5" t="s">
        <v>328</v>
      </c>
      <c r="G42" s="280"/>
      <c r="H42" s="49" t="s">
        <v>341</v>
      </c>
      <c r="I42" s="9" t="s">
        <v>342</v>
      </c>
      <c r="J42" s="280" t="s">
        <v>343</v>
      </c>
      <c r="K42" s="280">
        <v>1</v>
      </c>
      <c r="L42" s="280"/>
      <c r="M42" s="8"/>
      <c r="N42" s="9" t="s">
        <v>331</v>
      </c>
      <c r="O42" s="9" t="s">
        <v>341</v>
      </c>
      <c r="P42" s="1" t="s">
        <v>344</v>
      </c>
    </row>
    <row r="43" spans="1:16" ht="55.2">
      <c r="A43" s="280"/>
      <c r="B43" s="280" t="s">
        <v>269</v>
      </c>
      <c r="C43" s="280">
        <v>2026</v>
      </c>
      <c r="D43" s="280"/>
      <c r="E43" s="964">
        <v>30700</v>
      </c>
      <c r="F43" s="5" t="s">
        <v>162</v>
      </c>
      <c r="G43" s="280"/>
      <c r="H43" s="49" t="s">
        <v>345</v>
      </c>
      <c r="I43" s="9" t="s">
        <v>346</v>
      </c>
      <c r="J43" s="5">
        <v>148000</v>
      </c>
      <c r="K43" s="280">
        <v>1</v>
      </c>
      <c r="L43" s="280">
        <f>J43*K43</f>
        <v>148000</v>
      </c>
      <c r="M43" s="8"/>
      <c r="N43" s="9" t="s">
        <v>331</v>
      </c>
      <c r="O43" s="9" t="s">
        <v>345</v>
      </c>
    </row>
    <row r="44" spans="1:16" ht="55.2">
      <c r="A44" s="280"/>
      <c r="B44" s="280" t="s">
        <v>269</v>
      </c>
      <c r="C44" s="280">
        <v>2026</v>
      </c>
      <c r="D44" s="280"/>
      <c r="E44" s="964">
        <v>20500</v>
      </c>
      <c r="F44" s="5" t="s">
        <v>155</v>
      </c>
      <c r="G44" s="280"/>
      <c r="H44" s="49" t="s">
        <v>345</v>
      </c>
      <c r="I44" s="9" t="s">
        <v>347</v>
      </c>
      <c r="J44" s="5">
        <v>50000</v>
      </c>
      <c r="K44" s="280">
        <v>1</v>
      </c>
      <c r="L44" s="280">
        <f>J44*K44</f>
        <v>50000</v>
      </c>
      <c r="M44" s="8"/>
      <c r="N44" s="9" t="s">
        <v>331</v>
      </c>
      <c r="O44" s="9" t="s">
        <v>345</v>
      </c>
    </row>
    <row r="45" spans="1:16" ht="55.2">
      <c r="B45" s="50" t="s">
        <v>121</v>
      </c>
      <c r="C45" s="50">
        <v>2026</v>
      </c>
      <c r="D45" s="51" t="s">
        <v>348</v>
      </c>
      <c r="E45" s="57">
        <v>10102</v>
      </c>
      <c r="F45" s="50" t="s">
        <v>129</v>
      </c>
      <c r="G45" s="50">
        <v>1</v>
      </c>
      <c r="H45" s="14" t="s">
        <v>349</v>
      </c>
      <c r="I45" s="10" t="s">
        <v>350</v>
      </c>
      <c r="J45" s="10" t="s">
        <v>351</v>
      </c>
      <c r="K45" s="10" t="s">
        <v>352</v>
      </c>
      <c r="L45" s="280">
        <f>48*2000</f>
        <v>96000</v>
      </c>
      <c r="M45" s="8"/>
      <c r="N45" s="10" t="s">
        <v>353</v>
      </c>
      <c r="O45" s="280"/>
    </row>
    <row r="46" spans="1:16" ht="82.8">
      <c r="B46" s="10" t="s">
        <v>121</v>
      </c>
      <c r="C46" s="10">
        <v>2026</v>
      </c>
      <c r="D46" s="4" t="s">
        <v>348</v>
      </c>
      <c r="E46" s="58">
        <v>10102</v>
      </c>
      <c r="F46" s="10" t="s">
        <v>129</v>
      </c>
      <c r="G46" s="10">
        <v>1</v>
      </c>
      <c r="H46" s="14" t="s">
        <v>354</v>
      </c>
      <c r="I46" s="10" t="s">
        <v>355</v>
      </c>
      <c r="J46" s="10">
        <v>30000</v>
      </c>
      <c r="K46" s="10" t="s">
        <v>356</v>
      </c>
      <c r="L46" s="280">
        <f t="shared" ref="L46:L53" si="1">J46</f>
        <v>30000</v>
      </c>
      <c r="M46" s="8"/>
      <c r="N46" s="10" t="s">
        <v>357</v>
      </c>
      <c r="O46" s="280"/>
    </row>
    <row r="47" spans="1:16" ht="82.8">
      <c r="B47" s="10" t="s">
        <v>121</v>
      </c>
      <c r="C47" s="10">
        <v>2026</v>
      </c>
      <c r="D47" s="4" t="s">
        <v>348</v>
      </c>
      <c r="E47" s="58">
        <v>10102</v>
      </c>
      <c r="F47" s="10" t="s">
        <v>129</v>
      </c>
      <c r="G47" s="10">
        <v>1</v>
      </c>
      <c r="H47" s="14" t="s">
        <v>358</v>
      </c>
      <c r="I47" s="10" t="s">
        <v>355</v>
      </c>
      <c r="J47" s="10">
        <v>40000</v>
      </c>
      <c r="K47" s="10" t="s">
        <v>356</v>
      </c>
      <c r="L47" s="280">
        <f t="shared" si="1"/>
        <v>40000</v>
      </c>
      <c r="M47" s="8"/>
      <c r="N47" s="10" t="s">
        <v>357</v>
      </c>
      <c r="O47" s="280"/>
    </row>
    <row r="48" spans="1:16" ht="82.8">
      <c r="B48" s="10" t="s">
        <v>121</v>
      </c>
      <c r="C48" s="10">
        <v>2026</v>
      </c>
      <c r="D48" s="4" t="s">
        <v>348</v>
      </c>
      <c r="E48" s="58">
        <v>10102</v>
      </c>
      <c r="F48" s="10" t="s">
        <v>129</v>
      </c>
      <c r="G48" s="10">
        <v>1</v>
      </c>
      <c r="H48" s="14" t="s">
        <v>359</v>
      </c>
      <c r="I48" s="10" t="s">
        <v>360</v>
      </c>
      <c r="J48" s="10">
        <v>30000</v>
      </c>
      <c r="K48" s="10" t="s">
        <v>356</v>
      </c>
      <c r="L48" s="280">
        <f t="shared" si="1"/>
        <v>30000</v>
      </c>
      <c r="M48" s="8"/>
      <c r="N48" s="10" t="s">
        <v>361</v>
      </c>
      <c r="O48" s="280"/>
    </row>
    <row r="49" spans="2:15" ht="82.8">
      <c r="B49" s="10" t="s">
        <v>121</v>
      </c>
      <c r="C49" s="10">
        <v>2026</v>
      </c>
      <c r="D49" s="4" t="s">
        <v>348</v>
      </c>
      <c r="E49" s="58">
        <v>10102</v>
      </c>
      <c r="F49" s="10" t="s">
        <v>129</v>
      </c>
      <c r="G49" s="10">
        <v>1</v>
      </c>
      <c r="H49" s="14" t="s">
        <v>362</v>
      </c>
      <c r="I49" s="10" t="s">
        <v>360</v>
      </c>
      <c r="J49" s="10">
        <v>40000</v>
      </c>
      <c r="K49" s="10" t="s">
        <v>363</v>
      </c>
      <c r="L49" s="280">
        <f t="shared" si="1"/>
        <v>40000</v>
      </c>
      <c r="M49" s="8"/>
      <c r="N49" s="10" t="s">
        <v>361</v>
      </c>
      <c r="O49" s="280"/>
    </row>
    <row r="50" spans="2:15" ht="82.8">
      <c r="B50" s="10" t="s">
        <v>121</v>
      </c>
      <c r="C50" s="10">
        <v>2026</v>
      </c>
      <c r="D50" s="4" t="s">
        <v>348</v>
      </c>
      <c r="E50" s="58">
        <v>10102</v>
      </c>
      <c r="F50" s="10" t="s">
        <v>129</v>
      </c>
      <c r="G50" s="10">
        <v>1</v>
      </c>
      <c r="H50" s="14" t="s">
        <v>364</v>
      </c>
      <c r="I50" s="10" t="s">
        <v>355</v>
      </c>
      <c r="J50" s="10">
        <v>14000</v>
      </c>
      <c r="K50" s="10" t="s">
        <v>356</v>
      </c>
      <c r="L50" s="280">
        <f t="shared" si="1"/>
        <v>14000</v>
      </c>
      <c r="M50" s="8"/>
      <c r="N50" s="10" t="s">
        <v>357</v>
      </c>
      <c r="O50" s="280"/>
    </row>
    <row r="51" spans="2:15" ht="69">
      <c r="B51" s="10" t="s">
        <v>121</v>
      </c>
      <c r="C51" s="10">
        <v>2026</v>
      </c>
      <c r="D51" s="4" t="s">
        <v>348</v>
      </c>
      <c r="E51" s="58">
        <v>10102</v>
      </c>
      <c r="F51" s="10" t="s">
        <v>129</v>
      </c>
      <c r="G51" s="10">
        <v>1</v>
      </c>
      <c r="H51" s="14" t="s">
        <v>365</v>
      </c>
      <c r="I51" s="10" t="s">
        <v>366</v>
      </c>
      <c r="J51" s="10">
        <v>21000</v>
      </c>
      <c r="K51" s="10" t="s">
        <v>367</v>
      </c>
      <c r="L51" s="280">
        <f t="shared" si="1"/>
        <v>21000</v>
      </c>
      <c r="M51" s="8"/>
      <c r="N51" s="10" t="s">
        <v>357</v>
      </c>
      <c r="O51" s="280"/>
    </row>
    <row r="52" spans="2:15" ht="27.6">
      <c r="B52" s="10" t="s">
        <v>368</v>
      </c>
      <c r="C52" s="10">
        <v>2026</v>
      </c>
      <c r="D52" s="4" t="s">
        <v>348</v>
      </c>
      <c r="E52" s="58">
        <v>10102</v>
      </c>
      <c r="F52" s="10" t="s">
        <v>129</v>
      </c>
      <c r="G52" s="10">
        <v>2</v>
      </c>
      <c r="H52" s="14" t="s">
        <v>369</v>
      </c>
      <c r="I52" s="10" t="s">
        <v>370</v>
      </c>
      <c r="J52" s="10">
        <v>6000</v>
      </c>
      <c r="K52" s="10">
        <v>1</v>
      </c>
      <c r="L52" s="280">
        <f t="shared" si="1"/>
        <v>6000</v>
      </c>
      <c r="M52" s="8"/>
      <c r="N52" s="10" t="s">
        <v>371</v>
      </c>
      <c r="O52" s="280"/>
    </row>
    <row r="53" spans="2:15" ht="27.6">
      <c r="B53" s="10" t="s">
        <v>372</v>
      </c>
      <c r="C53" s="10">
        <v>2026</v>
      </c>
      <c r="D53" s="4" t="s">
        <v>348</v>
      </c>
      <c r="E53" s="58">
        <v>10102</v>
      </c>
      <c r="F53" s="10" t="s">
        <v>129</v>
      </c>
      <c r="G53" s="10">
        <v>2</v>
      </c>
      <c r="H53" s="14" t="s">
        <v>373</v>
      </c>
      <c r="I53" s="10" t="s">
        <v>374</v>
      </c>
      <c r="J53" s="10">
        <v>6000</v>
      </c>
      <c r="K53" s="10">
        <v>1</v>
      </c>
      <c r="L53" s="53">
        <f t="shared" si="1"/>
        <v>6000</v>
      </c>
      <c r="M53" s="8"/>
      <c r="N53" s="10" t="s">
        <v>375</v>
      </c>
      <c r="O53" s="280"/>
    </row>
    <row r="54" spans="2:15" ht="27.6">
      <c r="B54" s="10" t="s">
        <v>372</v>
      </c>
      <c r="C54" s="10">
        <v>2026</v>
      </c>
      <c r="D54" s="4" t="s">
        <v>348</v>
      </c>
      <c r="E54" s="58">
        <v>10102</v>
      </c>
      <c r="F54" s="10" t="s">
        <v>129</v>
      </c>
      <c r="G54" s="10">
        <v>3</v>
      </c>
      <c r="H54" s="14" t="s">
        <v>376</v>
      </c>
      <c r="I54" s="10" t="s">
        <v>370</v>
      </c>
      <c r="J54" s="10" t="s">
        <v>377</v>
      </c>
      <c r="K54" s="10">
        <v>1</v>
      </c>
      <c r="L54" s="53">
        <f>500*25</f>
        <v>12500</v>
      </c>
      <c r="M54" s="8"/>
      <c r="N54" s="10" t="s">
        <v>371</v>
      </c>
      <c r="O54" s="280"/>
    </row>
    <row r="55" spans="2:15" ht="27.6">
      <c r="B55" s="10" t="s">
        <v>372</v>
      </c>
      <c r="C55" s="10">
        <v>2026</v>
      </c>
      <c r="D55" s="4" t="s">
        <v>348</v>
      </c>
      <c r="E55" s="58">
        <v>10102</v>
      </c>
      <c r="F55" s="10" t="s">
        <v>129</v>
      </c>
      <c r="G55" s="10">
        <v>3</v>
      </c>
      <c r="H55" s="14" t="s">
        <v>378</v>
      </c>
      <c r="I55" s="10" t="s">
        <v>370</v>
      </c>
      <c r="J55" s="10">
        <v>12000</v>
      </c>
      <c r="K55" s="10">
        <v>1</v>
      </c>
      <c r="L55" s="53">
        <f>J55</f>
        <v>12000</v>
      </c>
      <c r="M55" s="8"/>
      <c r="N55" s="10" t="s">
        <v>371</v>
      </c>
      <c r="O55" s="280"/>
    </row>
    <row r="56" spans="2:15" ht="27.6">
      <c r="B56" s="10" t="s">
        <v>368</v>
      </c>
      <c r="C56" s="10">
        <v>2026</v>
      </c>
      <c r="D56" s="4" t="s">
        <v>348</v>
      </c>
      <c r="E56" s="58">
        <v>10102</v>
      </c>
      <c r="F56" s="10" t="s">
        <v>129</v>
      </c>
      <c r="G56" s="10">
        <v>2</v>
      </c>
      <c r="H56" s="14" t="s">
        <v>379</v>
      </c>
      <c r="I56" s="10" t="s">
        <v>380</v>
      </c>
      <c r="J56" s="10">
        <v>15000</v>
      </c>
      <c r="K56" s="10">
        <v>1</v>
      </c>
      <c r="L56" s="280">
        <f>J56</f>
        <v>15000</v>
      </c>
      <c r="M56" s="8"/>
      <c r="N56" s="10" t="s">
        <v>371</v>
      </c>
      <c r="O56" s="280"/>
    </row>
    <row r="57" spans="2:15" ht="41.4">
      <c r="B57" s="10" t="s">
        <v>121</v>
      </c>
      <c r="C57" s="10">
        <v>2026</v>
      </c>
      <c r="D57" s="4" t="s">
        <v>348</v>
      </c>
      <c r="E57" s="58">
        <v>10102</v>
      </c>
      <c r="F57" s="10" t="s">
        <v>129</v>
      </c>
      <c r="G57" s="10">
        <v>2</v>
      </c>
      <c r="H57" s="14" t="s">
        <v>381</v>
      </c>
      <c r="I57" s="10" t="s">
        <v>382</v>
      </c>
      <c r="J57" s="10">
        <v>5000</v>
      </c>
      <c r="K57" s="10">
        <v>1</v>
      </c>
      <c r="L57" s="280">
        <f>J57</f>
        <v>5000</v>
      </c>
      <c r="M57" s="8"/>
      <c r="N57" s="10" t="s">
        <v>383</v>
      </c>
      <c r="O57" s="280"/>
    </row>
    <row r="58" spans="2:15" ht="69">
      <c r="B58" s="10" t="s">
        <v>121</v>
      </c>
      <c r="C58" s="10">
        <v>2026</v>
      </c>
      <c r="D58" s="4" t="s">
        <v>348</v>
      </c>
      <c r="E58" s="58">
        <v>10102</v>
      </c>
      <c r="F58" s="10" t="s">
        <v>129</v>
      </c>
      <c r="G58" s="10">
        <v>2</v>
      </c>
      <c r="H58" s="14" t="s">
        <v>384</v>
      </c>
      <c r="I58" s="10" t="s">
        <v>385</v>
      </c>
      <c r="J58" s="10">
        <v>10000</v>
      </c>
      <c r="K58" s="10">
        <v>2</v>
      </c>
      <c r="L58" s="53">
        <f>J58*K58</f>
        <v>20000</v>
      </c>
      <c r="M58" s="8"/>
      <c r="N58" s="10" t="s">
        <v>357</v>
      </c>
      <c r="O58" s="280" t="s">
        <v>386</v>
      </c>
    </row>
    <row r="59" spans="2:15" ht="69">
      <c r="B59" s="10" t="s">
        <v>121</v>
      </c>
      <c r="C59" s="10">
        <v>2026</v>
      </c>
      <c r="D59" s="4" t="s">
        <v>348</v>
      </c>
      <c r="E59" s="58">
        <v>10102</v>
      </c>
      <c r="F59" s="10" t="s">
        <v>129</v>
      </c>
      <c r="G59" s="10">
        <v>2</v>
      </c>
      <c r="H59" s="14" t="s">
        <v>387</v>
      </c>
      <c r="I59" s="10" t="s">
        <v>385</v>
      </c>
      <c r="J59" s="10">
        <v>10000</v>
      </c>
      <c r="K59" s="10">
        <v>1</v>
      </c>
      <c r="L59" s="53">
        <f>J59</f>
        <v>10000</v>
      </c>
      <c r="M59" s="8"/>
      <c r="N59" s="10" t="s">
        <v>357</v>
      </c>
      <c r="O59" s="280"/>
    </row>
    <row r="60" spans="2:15" ht="27.6">
      <c r="B60" s="11" t="s">
        <v>368</v>
      </c>
      <c r="C60" s="11">
        <v>2026</v>
      </c>
      <c r="D60" s="4" t="s">
        <v>388</v>
      </c>
      <c r="E60" s="59">
        <v>20200</v>
      </c>
      <c r="F60" s="11" t="s">
        <v>137</v>
      </c>
      <c r="G60" s="11">
        <v>1</v>
      </c>
      <c r="H60" s="36" t="s">
        <v>389</v>
      </c>
      <c r="I60" s="11" t="s">
        <v>390</v>
      </c>
      <c r="J60" s="12">
        <v>7000</v>
      </c>
      <c r="K60" s="11">
        <v>4</v>
      </c>
      <c r="L60" s="43">
        <v>28000</v>
      </c>
      <c r="M60" s="43"/>
      <c r="N60" s="11" t="s">
        <v>391</v>
      </c>
      <c r="O60" s="11" t="s">
        <v>390</v>
      </c>
    </row>
    <row r="61" spans="2:15" ht="27.6">
      <c r="B61" s="11" t="s">
        <v>368</v>
      </c>
      <c r="C61" s="11">
        <v>2026</v>
      </c>
      <c r="D61" s="4" t="s">
        <v>388</v>
      </c>
      <c r="E61" s="59">
        <v>20200</v>
      </c>
      <c r="F61" s="11" t="s">
        <v>137</v>
      </c>
      <c r="G61" s="11">
        <v>1</v>
      </c>
      <c r="H61" s="36" t="s">
        <v>392</v>
      </c>
      <c r="I61" s="11"/>
      <c r="J61" s="12">
        <v>4000</v>
      </c>
      <c r="K61" s="11">
        <v>5</v>
      </c>
      <c r="L61" s="43">
        <v>20000</v>
      </c>
      <c r="M61" s="43"/>
      <c r="N61" s="11" t="s">
        <v>393</v>
      </c>
      <c r="O61" s="11" t="s">
        <v>394</v>
      </c>
    </row>
    <row r="62" spans="2:15" ht="27.6">
      <c r="B62" s="11" t="s">
        <v>238</v>
      </c>
      <c r="C62" s="11">
        <v>2026</v>
      </c>
      <c r="D62" s="4" t="s">
        <v>388</v>
      </c>
      <c r="E62" s="59">
        <v>20200</v>
      </c>
      <c r="F62" s="11" t="s">
        <v>137</v>
      </c>
      <c r="G62" s="11">
        <v>1</v>
      </c>
      <c r="H62" s="36" t="s">
        <v>395</v>
      </c>
      <c r="I62" s="11" t="s">
        <v>396</v>
      </c>
      <c r="J62" s="11"/>
      <c r="K62" s="11"/>
      <c r="L62" s="43">
        <v>30000</v>
      </c>
      <c r="M62" s="43"/>
      <c r="N62" s="11" t="s">
        <v>397</v>
      </c>
      <c r="O62" s="11" t="s">
        <v>398</v>
      </c>
    </row>
    <row r="63" spans="2:15">
      <c r="B63" s="11" t="s">
        <v>121</v>
      </c>
      <c r="C63" s="11">
        <v>2026</v>
      </c>
      <c r="D63" s="4" t="s">
        <v>388</v>
      </c>
      <c r="E63" s="59">
        <v>20200</v>
      </c>
      <c r="F63" s="11" t="s">
        <v>137</v>
      </c>
      <c r="G63" s="11">
        <v>1</v>
      </c>
      <c r="H63" s="36" t="s">
        <v>399</v>
      </c>
      <c r="I63" s="11" t="s">
        <v>400</v>
      </c>
      <c r="J63" s="12">
        <v>60000</v>
      </c>
      <c r="K63" s="11">
        <v>1</v>
      </c>
      <c r="L63" s="43">
        <v>60000</v>
      </c>
      <c r="M63" s="43"/>
      <c r="N63" s="11" t="s">
        <v>393</v>
      </c>
      <c r="O63" s="11" t="s">
        <v>401</v>
      </c>
    </row>
    <row r="64" spans="2:15" ht="27.6">
      <c r="B64" s="10" t="s">
        <v>402</v>
      </c>
      <c r="C64" s="10">
        <v>2026</v>
      </c>
      <c r="D64" s="4" t="s">
        <v>403</v>
      </c>
      <c r="E64" s="58">
        <v>30323</v>
      </c>
      <c r="F64" s="10" t="s">
        <v>404</v>
      </c>
      <c r="G64" s="280">
        <v>1</v>
      </c>
      <c r="H64" s="14" t="s">
        <v>405</v>
      </c>
      <c r="I64" s="10"/>
      <c r="J64" s="13">
        <v>140000</v>
      </c>
      <c r="K64" s="10"/>
      <c r="L64" s="280"/>
      <c r="M64" s="8"/>
      <c r="N64" s="10" t="s">
        <v>406</v>
      </c>
      <c r="O64" s="10"/>
    </row>
    <row r="65" spans="2:15" ht="16.5" customHeight="1">
      <c r="B65" s="10" t="s">
        <v>407</v>
      </c>
      <c r="C65" s="10">
        <v>2026</v>
      </c>
      <c r="D65" s="4" t="s">
        <v>403</v>
      </c>
      <c r="E65" s="58">
        <v>30323</v>
      </c>
      <c r="F65" s="10" t="s">
        <v>404</v>
      </c>
      <c r="G65" s="280">
        <v>1</v>
      </c>
      <c r="H65" s="14" t="s">
        <v>408</v>
      </c>
      <c r="I65" s="10" t="s">
        <v>409</v>
      </c>
      <c r="J65" s="10">
        <v>60000</v>
      </c>
      <c r="K65" s="10">
        <v>24</v>
      </c>
      <c r="L65" s="280"/>
      <c r="M65" s="8"/>
      <c r="N65" s="10" t="s">
        <v>410</v>
      </c>
      <c r="O65" s="10" t="s">
        <v>411</v>
      </c>
    </row>
    <row r="66" spans="2:15" ht="16.5" customHeight="1">
      <c r="B66" s="10" t="s">
        <v>121</v>
      </c>
      <c r="C66" s="10">
        <v>2026</v>
      </c>
      <c r="D66" s="4" t="s">
        <v>412</v>
      </c>
      <c r="E66" s="58">
        <v>10500</v>
      </c>
      <c r="F66" s="10" t="s">
        <v>413</v>
      </c>
      <c r="G66" s="280">
        <v>1</v>
      </c>
      <c r="H66" s="14" t="s">
        <v>414</v>
      </c>
      <c r="I66" s="10" t="s">
        <v>415</v>
      </c>
      <c r="J66" s="10">
        <v>35000</v>
      </c>
      <c r="K66" s="10"/>
      <c r="L66" s="280"/>
      <c r="M66" s="8"/>
      <c r="N66" s="10" t="s">
        <v>416</v>
      </c>
      <c r="O66" s="10" t="s">
        <v>417</v>
      </c>
    </row>
    <row r="67" spans="2:15" ht="41.4">
      <c r="B67" s="10" t="s">
        <v>269</v>
      </c>
      <c r="C67" s="10">
        <v>2026</v>
      </c>
      <c r="D67" s="4" t="s">
        <v>418</v>
      </c>
      <c r="E67" s="58">
        <v>20315</v>
      </c>
      <c r="F67" s="10" t="s">
        <v>150</v>
      </c>
      <c r="G67" s="10">
        <v>1</v>
      </c>
      <c r="H67" s="14" t="s">
        <v>419</v>
      </c>
      <c r="I67" s="10" t="s">
        <v>420</v>
      </c>
      <c r="J67" s="10" t="s">
        <v>421</v>
      </c>
      <c r="K67" s="10">
        <v>1</v>
      </c>
      <c r="L67" s="280"/>
      <c r="M67" s="8"/>
      <c r="N67" s="10" t="s">
        <v>422</v>
      </c>
      <c r="O67" s="10" t="s">
        <v>423</v>
      </c>
    </row>
    <row r="68" spans="2:15" ht="14.25" customHeight="1">
      <c r="B68" s="10" t="s">
        <v>269</v>
      </c>
      <c r="C68" s="10">
        <v>2026</v>
      </c>
      <c r="D68" s="4" t="s">
        <v>418</v>
      </c>
      <c r="E68" s="58">
        <v>20315</v>
      </c>
      <c r="F68" s="10" t="s">
        <v>150</v>
      </c>
      <c r="G68" s="10">
        <v>1</v>
      </c>
      <c r="H68" s="14" t="s">
        <v>424</v>
      </c>
      <c r="I68" s="10" t="s">
        <v>425</v>
      </c>
      <c r="J68" s="10" t="s">
        <v>426</v>
      </c>
      <c r="K68" s="10">
        <v>4</v>
      </c>
      <c r="L68" s="280"/>
      <c r="M68" s="8"/>
      <c r="N68" s="10" t="s">
        <v>427</v>
      </c>
      <c r="O68" s="10" t="s">
        <v>428</v>
      </c>
    </row>
    <row r="69" spans="2:15" ht="18" customHeight="1">
      <c r="B69" s="10" t="s">
        <v>429</v>
      </c>
      <c r="C69" s="10">
        <v>2026</v>
      </c>
      <c r="D69" s="4" t="s">
        <v>418</v>
      </c>
      <c r="E69" s="58">
        <v>20315</v>
      </c>
      <c r="F69" s="10" t="s">
        <v>150</v>
      </c>
      <c r="G69" s="10">
        <v>2</v>
      </c>
      <c r="H69" s="14" t="s">
        <v>430</v>
      </c>
      <c r="I69" s="10" t="s">
        <v>431</v>
      </c>
      <c r="J69" s="10" t="s">
        <v>432</v>
      </c>
      <c r="K69" s="10"/>
      <c r="L69" s="280"/>
      <c r="M69" s="8"/>
      <c r="N69" s="10"/>
      <c r="O69" s="10" t="s">
        <v>433</v>
      </c>
    </row>
    <row r="70" spans="2:15" ht="16.5" customHeight="1">
      <c r="B70" s="10" t="s">
        <v>269</v>
      </c>
      <c r="C70" s="10">
        <v>2026</v>
      </c>
      <c r="D70" s="4" t="s">
        <v>418</v>
      </c>
      <c r="E70" s="58">
        <v>20303</v>
      </c>
      <c r="F70" s="10" t="s">
        <v>141</v>
      </c>
      <c r="G70" s="10">
        <v>1</v>
      </c>
      <c r="H70" s="14" t="s">
        <v>434</v>
      </c>
      <c r="I70" s="10" t="s">
        <v>435</v>
      </c>
      <c r="J70" s="10" t="s">
        <v>436</v>
      </c>
      <c r="K70" s="10">
        <v>1</v>
      </c>
      <c r="L70" s="280"/>
      <c r="M70" s="8"/>
      <c r="N70" s="10" t="s">
        <v>437</v>
      </c>
      <c r="O70" s="10" t="s">
        <v>438</v>
      </c>
    </row>
    <row r="71" spans="2:15" ht="55.2">
      <c r="B71" s="10" t="s">
        <v>269</v>
      </c>
      <c r="C71" s="10">
        <v>2026</v>
      </c>
      <c r="D71" s="4" t="s">
        <v>418</v>
      </c>
      <c r="E71" s="58">
        <v>20303</v>
      </c>
      <c r="F71" s="10" t="s">
        <v>141</v>
      </c>
      <c r="G71" s="10">
        <v>1</v>
      </c>
      <c r="H71" s="14" t="s">
        <v>439</v>
      </c>
      <c r="I71" s="10" t="s">
        <v>440</v>
      </c>
      <c r="J71" s="10" t="s">
        <v>441</v>
      </c>
      <c r="K71" s="10">
        <v>1</v>
      </c>
      <c r="L71" s="280"/>
      <c r="M71" s="8"/>
      <c r="N71" s="10" t="s">
        <v>437</v>
      </c>
      <c r="O71" s="10" t="s">
        <v>442</v>
      </c>
    </row>
    <row r="72" spans="2:15" ht="14.25" customHeight="1">
      <c r="B72" s="10" t="s">
        <v>443</v>
      </c>
      <c r="C72" s="10">
        <v>2026</v>
      </c>
      <c r="D72" s="4" t="s">
        <v>418</v>
      </c>
      <c r="E72" s="58">
        <v>20303</v>
      </c>
      <c r="F72" s="10" t="s">
        <v>141</v>
      </c>
      <c r="G72" s="10">
        <v>1</v>
      </c>
      <c r="H72" s="14" t="s">
        <v>444</v>
      </c>
      <c r="I72" s="10" t="s">
        <v>445</v>
      </c>
      <c r="J72" s="10" t="s">
        <v>446</v>
      </c>
      <c r="K72" s="10">
        <v>2</v>
      </c>
      <c r="L72" s="280"/>
      <c r="M72" s="8"/>
      <c r="N72" s="10" t="s">
        <v>437</v>
      </c>
      <c r="O72" s="10" t="s">
        <v>447</v>
      </c>
    </row>
    <row r="73" spans="2:15" ht="15" customHeight="1">
      <c r="B73" s="10" t="s">
        <v>269</v>
      </c>
      <c r="C73" s="10">
        <v>2026</v>
      </c>
      <c r="D73" s="4" t="s">
        <v>418</v>
      </c>
      <c r="E73" s="58">
        <v>20302</v>
      </c>
      <c r="F73" s="10" t="s">
        <v>140</v>
      </c>
      <c r="G73" s="10">
        <v>1</v>
      </c>
      <c r="H73" s="14" t="s">
        <v>448</v>
      </c>
      <c r="I73" s="10" t="s">
        <v>449</v>
      </c>
      <c r="J73" s="10" t="s">
        <v>450</v>
      </c>
      <c r="K73" s="10">
        <v>1</v>
      </c>
      <c r="L73" s="280"/>
      <c r="M73" s="8"/>
      <c r="N73" s="10" t="s">
        <v>451</v>
      </c>
      <c r="O73" s="10" t="s">
        <v>452</v>
      </c>
    </row>
    <row r="74" spans="2:15" ht="55.2">
      <c r="B74" s="10" t="s">
        <v>269</v>
      </c>
      <c r="C74" s="10">
        <v>2026</v>
      </c>
      <c r="D74" s="4" t="s">
        <v>418</v>
      </c>
      <c r="E74" s="58">
        <v>20302</v>
      </c>
      <c r="F74" s="10" t="s">
        <v>140</v>
      </c>
      <c r="G74" s="10">
        <v>1</v>
      </c>
      <c r="H74" s="14" t="s">
        <v>439</v>
      </c>
      <c r="I74" s="10" t="s">
        <v>440</v>
      </c>
      <c r="J74" s="10" t="s">
        <v>441</v>
      </c>
      <c r="K74" s="10">
        <v>1</v>
      </c>
      <c r="L74" s="280"/>
      <c r="M74" s="8"/>
      <c r="N74" s="10" t="s">
        <v>451</v>
      </c>
      <c r="O74" s="10" t="s">
        <v>442</v>
      </c>
    </row>
    <row r="75" spans="2:15" ht="27.6">
      <c r="B75" s="10" t="s">
        <v>429</v>
      </c>
      <c r="C75" s="10">
        <v>2026</v>
      </c>
      <c r="D75" s="4" t="s">
        <v>418</v>
      </c>
      <c r="E75" s="58">
        <v>20302</v>
      </c>
      <c r="F75" s="10" t="s">
        <v>140</v>
      </c>
      <c r="G75" s="10">
        <v>1</v>
      </c>
      <c r="H75" s="14" t="s">
        <v>444</v>
      </c>
      <c r="I75" s="10" t="s">
        <v>445</v>
      </c>
      <c r="J75" s="10" t="s">
        <v>453</v>
      </c>
      <c r="K75" s="10">
        <v>2</v>
      </c>
      <c r="L75" s="280"/>
      <c r="M75" s="8"/>
      <c r="N75" s="10" t="s">
        <v>451</v>
      </c>
      <c r="O75" s="10" t="s">
        <v>447</v>
      </c>
    </row>
    <row r="76" spans="2:15" ht="55.2">
      <c r="B76" s="10" t="s">
        <v>429</v>
      </c>
      <c r="C76" s="10">
        <v>2026</v>
      </c>
      <c r="D76" s="4" t="s">
        <v>418</v>
      </c>
      <c r="E76" s="58">
        <v>20302</v>
      </c>
      <c r="F76" s="10" t="s">
        <v>140</v>
      </c>
      <c r="G76" s="10">
        <v>2</v>
      </c>
      <c r="H76" s="14" t="s">
        <v>444</v>
      </c>
      <c r="I76" s="10" t="s">
        <v>454</v>
      </c>
      <c r="J76" s="10" t="s">
        <v>455</v>
      </c>
      <c r="K76" s="10">
        <v>4</v>
      </c>
      <c r="L76" s="280"/>
      <c r="M76" s="8"/>
      <c r="N76" s="10" t="s">
        <v>451</v>
      </c>
      <c r="O76" s="10" t="s">
        <v>456</v>
      </c>
    </row>
    <row r="77" spans="2:15" ht="15.75" customHeight="1">
      <c r="B77" s="10" t="s">
        <v>429</v>
      </c>
      <c r="C77" s="10">
        <v>2026</v>
      </c>
      <c r="D77" s="4" t="s">
        <v>418</v>
      </c>
      <c r="E77" s="58">
        <v>20302</v>
      </c>
      <c r="F77" s="10" t="s">
        <v>140</v>
      </c>
      <c r="G77" s="10">
        <v>2</v>
      </c>
      <c r="H77" s="14" t="s">
        <v>457</v>
      </c>
      <c r="I77" s="10" t="s">
        <v>458</v>
      </c>
      <c r="J77" s="10" t="s">
        <v>459</v>
      </c>
      <c r="K77" s="10">
        <v>1</v>
      </c>
      <c r="L77" s="280"/>
      <c r="M77" s="8"/>
      <c r="N77" s="10" t="s">
        <v>451</v>
      </c>
      <c r="O77" s="10" t="s">
        <v>460</v>
      </c>
    </row>
    <row r="78" spans="2:15" ht="13.5" customHeight="1">
      <c r="B78" s="10" t="s">
        <v>232</v>
      </c>
      <c r="C78" s="10">
        <v>2026</v>
      </c>
      <c r="D78" s="4" t="s">
        <v>418</v>
      </c>
      <c r="E78" s="58">
        <v>20302</v>
      </c>
      <c r="F78" s="10" t="s">
        <v>140</v>
      </c>
      <c r="G78" s="10">
        <v>2</v>
      </c>
      <c r="H78" s="14" t="s">
        <v>461</v>
      </c>
      <c r="I78" s="10" t="s">
        <v>462</v>
      </c>
      <c r="J78" s="10" t="s">
        <v>463</v>
      </c>
      <c r="K78" s="10">
        <v>1</v>
      </c>
      <c r="L78" s="280"/>
      <c r="M78" s="8"/>
      <c r="N78" s="10" t="s">
        <v>464</v>
      </c>
      <c r="O78" s="10" t="s">
        <v>465</v>
      </c>
    </row>
    <row r="79" spans="2:15" ht="41.4">
      <c r="B79" s="10" t="s">
        <v>429</v>
      </c>
      <c r="C79" s="10">
        <v>2026</v>
      </c>
      <c r="D79" s="4" t="s">
        <v>418</v>
      </c>
      <c r="E79" s="58">
        <v>20302</v>
      </c>
      <c r="F79" s="10" t="s">
        <v>140</v>
      </c>
      <c r="G79" s="10">
        <v>1</v>
      </c>
      <c r="H79" s="14" t="s">
        <v>466</v>
      </c>
      <c r="I79" s="10" t="s">
        <v>467</v>
      </c>
      <c r="J79" s="10" t="s">
        <v>432</v>
      </c>
      <c r="K79" s="10"/>
      <c r="L79" s="280"/>
      <c r="M79" s="8"/>
      <c r="N79" s="10"/>
      <c r="O79" s="10" t="s">
        <v>468</v>
      </c>
    </row>
    <row r="80" spans="2:15" ht="25.5" customHeight="1">
      <c r="B80" s="10" t="s">
        <v>269</v>
      </c>
      <c r="C80" s="10">
        <v>2026</v>
      </c>
      <c r="D80" s="4" t="s">
        <v>418</v>
      </c>
      <c r="E80" s="58">
        <v>30300</v>
      </c>
      <c r="F80" s="10" t="s">
        <v>469</v>
      </c>
      <c r="G80" s="10">
        <v>1</v>
      </c>
      <c r="H80" s="14" t="s">
        <v>470</v>
      </c>
      <c r="I80" s="10" t="s">
        <v>471</v>
      </c>
      <c r="J80" s="10" t="s">
        <v>472</v>
      </c>
      <c r="K80" s="10">
        <v>1</v>
      </c>
      <c r="L80" s="280"/>
      <c r="M80" s="8"/>
      <c r="N80" s="10" t="s">
        <v>473</v>
      </c>
      <c r="O80" s="10" t="s">
        <v>474</v>
      </c>
    </row>
    <row r="81" spans="2:15" ht="27.6">
      <c r="B81" s="10" t="s">
        <v>429</v>
      </c>
      <c r="C81" s="10">
        <v>2026</v>
      </c>
      <c r="D81" s="4" t="s">
        <v>418</v>
      </c>
      <c r="E81" s="58">
        <v>30300</v>
      </c>
      <c r="F81" s="10" t="s">
        <v>469</v>
      </c>
      <c r="G81" s="10">
        <v>2</v>
      </c>
      <c r="H81" s="14" t="s">
        <v>475</v>
      </c>
      <c r="I81" s="10" t="s">
        <v>476</v>
      </c>
      <c r="J81" s="10" t="s">
        <v>477</v>
      </c>
      <c r="K81" s="10" t="s">
        <v>477</v>
      </c>
      <c r="L81" s="280"/>
      <c r="M81" s="8"/>
      <c r="N81" s="10" t="s">
        <v>477</v>
      </c>
      <c r="O81" s="10" t="s">
        <v>478</v>
      </c>
    </row>
    <row r="82" spans="2:15" ht="41.4">
      <c r="B82" s="10" t="s">
        <v>429</v>
      </c>
      <c r="C82" s="10">
        <v>2026</v>
      </c>
      <c r="D82" s="4" t="s">
        <v>418</v>
      </c>
      <c r="E82" s="58">
        <v>30300</v>
      </c>
      <c r="F82" s="10" t="s">
        <v>469</v>
      </c>
      <c r="G82" s="10">
        <v>2</v>
      </c>
      <c r="H82" s="14" t="s">
        <v>479</v>
      </c>
      <c r="I82" s="10" t="s">
        <v>480</v>
      </c>
      <c r="J82" s="10" t="s">
        <v>481</v>
      </c>
      <c r="K82" s="10">
        <v>1</v>
      </c>
      <c r="L82" s="280"/>
      <c r="M82" s="8"/>
      <c r="N82" s="10" t="s">
        <v>473</v>
      </c>
      <c r="O82" s="10" t="s">
        <v>482</v>
      </c>
    </row>
    <row r="83" spans="2:15" ht="69">
      <c r="B83" s="10" t="s">
        <v>269</v>
      </c>
      <c r="C83" s="10">
        <v>2026</v>
      </c>
      <c r="D83" s="4" t="s">
        <v>418</v>
      </c>
      <c r="E83" s="58">
        <v>20301</v>
      </c>
      <c r="F83" s="10" t="s">
        <v>139</v>
      </c>
      <c r="G83" s="10">
        <v>1</v>
      </c>
      <c r="H83" s="14" t="s">
        <v>448</v>
      </c>
      <c r="I83" s="10" t="s">
        <v>483</v>
      </c>
      <c r="J83" s="10" t="s">
        <v>484</v>
      </c>
      <c r="K83" s="10">
        <v>1</v>
      </c>
      <c r="L83" s="280"/>
      <c r="M83" s="8"/>
      <c r="N83" s="10" t="s">
        <v>485</v>
      </c>
      <c r="O83" s="10" t="s">
        <v>452</v>
      </c>
    </row>
    <row r="84" spans="2:15" ht="55.2">
      <c r="B84" s="10" t="s">
        <v>269</v>
      </c>
      <c r="C84" s="10">
        <v>2026</v>
      </c>
      <c r="D84" s="4" t="s">
        <v>418</v>
      </c>
      <c r="E84" s="58">
        <v>20301</v>
      </c>
      <c r="F84" s="10" t="s">
        <v>139</v>
      </c>
      <c r="G84" s="10">
        <v>1</v>
      </c>
      <c r="H84" s="14" t="s">
        <v>439</v>
      </c>
      <c r="I84" s="10" t="s">
        <v>440</v>
      </c>
      <c r="J84" s="10" t="s">
        <v>441</v>
      </c>
      <c r="K84" s="10">
        <v>1</v>
      </c>
      <c r="L84" s="280"/>
      <c r="M84" s="8"/>
      <c r="N84" s="10" t="s">
        <v>485</v>
      </c>
      <c r="O84" s="10" t="s">
        <v>442</v>
      </c>
    </row>
    <row r="85" spans="2:15" ht="41.4">
      <c r="B85" s="10" t="s">
        <v>429</v>
      </c>
      <c r="C85" s="10">
        <v>2026</v>
      </c>
      <c r="D85" s="4" t="s">
        <v>418</v>
      </c>
      <c r="E85" s="58">
        <v>20301</v>
      </c>
      <c r="F85" s="10" t="s">
        <v>139</v>
      </c>
      <c r="G85" s="10">
        <v>1</v>
      </c>
      <c r="H85" s="14" t="s">
        <v>444</v>
      </c>
      <c r="I85" s="10" t="s">
        <v>445</v>
      </c>
      <c r="J85" s="10" t="s">
        <v>453</v>
      </c>
      <c r="K85" s="10">
        <v>2</v>
      </c>
      <c r="L85" s="280"/>
      <c r="M85" s="8"/>
      <c r="N85" s="10" t="s">
        <v>485</v>
      </c>
      <c r="O85" s="10" t="s">
        <v>447</v>
      </c>
    </row>
    <row r="86" spans="2:15" ht="55.2">
      <c r="B86" s="10" t="s">
        <v>221</v>
      </c>
      <c r="C86" s="10">
        <v>2026</v>
      </c>
      <c r="D86" s="4" t="s">
        <v>486</v>
      </c>
      <c r="E86" s="58">
        <v>30316</v>
      </c>
      <c r="F86" s="10" t="s">
        <v>487</v>
      </c>
      <c r="G86" s="10">
        <v>2</v>
      </c>
      <c r="H86" s="14" t="s">
        <v>488</v>
      </c>
      <c r="I86" s="10" t="s">
        <v>489</v>
      </c>
      <c r="J86" s="13">
        <v>46000</v>
      </c>
      <c r="K86" s="10">
        <v>1</v>
      </c>
      <c r="L86" s="280">
        <f>J86*K86</f>
        <v>46000</v>
      </c>
      <c r="M86" s="8"/>
      <c r="N86" s="10" t="s">
        <v>490</v>
      </c>
      <c r="O86" s="10" t="s">
        <v>491</v>
      </c>
    </row>
    <row r="87" spans="2:15" ht="14.25" customHeight="1">
      <c r="B87" s="10" t="s">
        <v>221</v>
      </c>
      <c r="C87" s="10">
        <v>2026</v>
      </c>
      <c r="D87" s="4" t="s">
        <v>486</v>
      </c>
      <c r="E87" s="58">
        <v>30316</v>
      </c>
      <c r="F87" s="10" t="s">
        <v>487</v>
      </c>
      <c r="G87" s="10">
        <v>1</v>
      </c>
      <c r="H87" s="14" t="s">
        <v>488</v>
      </c>
      <c r="I87" s="10" t="s">
        <v>489</v>
      </c>
      <c r="J87" s="13">
        <v>90000</v>
      </c>
      <c r="K87" s="10">
        <v>1</v>
      </c>
      <c r="L87" s="280">
        <f t="shared" ref="L87:L102" si="2">J87*K87</f>
        <v>90000</v>
      </c>
      <c r="M87" s="8"/>
      <c r="N87" s="10" t="s">
        <v>490</v>
      </c>
      <c r="O87" s="10" t="s">
        <v>492</v>
      </c>
    </row>
    <row r="88" spans="2:15" ht="14.25" customHeight="1">
      <c r="B88" s="10" t="s">
        <v>238</v>
      </c>
      <c r="C88" s="10">
        <v>2026</v>
      </c>
      <c r="D88" s="4" t="s">
        <v>493</v>
      </c>
      <c r="E88" s="58">
        <v>30316</v>
      </c>
      <c r="F88" s="10" t="s">
        <v>487</v>
      </c>
      <c r="G88" s="10">
        <v>2</v>
      </c>
      <c r="H88" s="14" t="s">
        <v>494</v>
      </c>
      <c r="I88" s="10" t="s">
        <v>495</v>
      </c>
      <c r="J88" s="13">
        <v>40000</v>
      </c>
      <c r="K88" s="10">
        <v>1</v>
      </c>
      <c r="L88" s="53">
        <f t="shared" si="2"/>
        <v>40000</v>
      </c>
      <c r="M88" s="8"/>
      <c r="N88" s="10" t="s">
        <v>496</v>
      </c>
      <c r="O88" s="10" t="s">
        <v>497</v>
      </c>
    </row>
    <row r="89" spans="2:15" ht="14.25" customHeight="1">
      <c r="B89" s="10" t="s">
        <v>238</v>
      </c>
      <c r="C89" s="10">
        <v>2026</v>
      </c>
      <c r="D89" s="4" t="s">
        <v>493</v>
      </c>
      <c r="E89" s="58">
        <v>30316</v>
      </c>
      <c r="F89" s="10" t="s">
        <v>487</v>
      </c>
      <c r="G89" s="10">
        <v>1</v>
      </c>
      <c r="H89" s="14" t="s">
        <v>494</v>
      </c>
      <c r="I89" s="10" t="s">
        <v>495</v>
      </c>
      <c r="J89" s="13">
        <v>7500</v>
      </c>
      <c r="K89" s="10">
        <v>1</v>
      </c>
      <c r="L89" s="280">
        <f t="shared" si="2"/>
        <v>7500</v>
      </c>
      <c r="M89" s="8"/>
      <c r="N89" s="10" t="s">
        <v>496</v>
      </c>
      <c r="O89" s="10" t="s">
        <v>498</v>
      </c>
    </row>
    <row r="90" spans="2:15" ht="14.25" customHeight="1">
      <c r="B90" s="10" t="s">
        <v>221</v>
      </c>
      <c r="C90" s="10">
        <v>2026</v>
      </c>
      <c r="D90" s="4" t="s">
        <v>499</v>
      </c>
      <c r="E90" s="58">
        <v>30316</v>
      </c>
      <c r="F90" s="10" t="s">
        <v>487</v>
      </c>
      <c r="G90" s="10">
        <v>1</v>
      </c>
      <c r="H90" s="14" t="s">
        <v>500</v>
      </c>
      <c r="I90" s="10" t="s">
        <v>501</v>
      </c>
      <c r="J90" s="13">
        <v>7000</v>
      </c>
      <c r="K90" s="10">
        <v>1</v>
      </c>
      <c r="L90" s="300">
        <f t="shared" si="2"/>
        <v>7000</v>
      </c>
      <c r="M90" s="8"/>
      <c r="N90" s="10" t="s">
        <v>502</v>
      </c>
      <c r="O90" s="10" t="s">
        <v>503</v>
      </c>
    </row>
    <row r="91" spans="2:15" ht="14.25" customHeight="1">
      <c r="B91" s="10" t="s">
        <v>221</v>
      </c>
      <c r="C91" s="10">
        <v>2026</v>
      </c>
      <c r="D91" s="4" t="s">
        <v>486</v>
      </c>
      <c r="E91" s="58">
        <v>30316</v>
      </c>
      <c r="F91" s="10" t="s">
        <v>487</v>
      </c>
      <c r="G91" s="10">
        <v>1</v>
      </c>
      <c r="H91" s="14" t="s">
        <v>504</v>
      </c>
      <c r="I91" s="10" t="s">
        <v>501</v>
      </c>
      <c r="J91" s="13">
        <v>20000</v>
      </c>
      <c r="K91" s="10">
        <v>1</v>
      </c>
      <c r="L91" s="300">
        <f t="shared" si="2"/>
        <v>20000</v>
      </c>
      <c r="M91" s="8"/>
      <c r="N91" s="10" t="s">
        <v>505</v>
      </c>
      <c r="O91" s="10" t="s">
        <v>506</v>
      </c>
    </row>
    <row r="92" spans="2:15" ht="14.25" customHeight="1">
      <c r="B92" s="10" t="s">
        <v>221</v>
      </c>
      <c r="C92" s="10">
        <v>2026</v>
      </c>
      <c r="D92" s="4" t="s">
        <v>486</v>
      </c>
      <c r="E92" s="58">
        <v>30316</v>
      </c>
      <c r="F92" s="10" t="s">
        <v>487</v>
      </c>
      <c r="G92" s="10">
        <v>1</v>
      </c>
      <c r="H92" s="14" t="s">
        <v>501</v>
      </c>
      <c r="I92" s="10" t="s">
        <v>501</v>
      </c>
      <c r="J92" s="13">
        <v>40000</v>
      </c>
      <c r="K92" s="10">
        <v>1</v>
      </c>
      <c r="L92" s="300">
        <f t="shared" si="2"/>
        <v>40000</v>
      </c>
      <c r="M92" s="8"/>
      <c r="N92" s="10" t="s">
        <v>505</v>
      </c>
      <c r="O92" s="10" t="s">
        <v>507</v>
      </c>
    </row>
    <row r="93" spans="2:15" ht="16.5" customHeight="1">
      <c r="B93" s="10" t="s">
        <v>221</v>
      </c>
      <c r="C93" s="10">
        <v>2026</v>
      </c>
      <c r="D93" s="4" t="s">
        <v>499</v>
      </c>
      <c r="E93" s="58">
        <v>30316</v>
      </c>
      <c r="F93" s="10" t="s">
        <v>487</v>
      </c>
      <c r="G93" s="10">
        <v>1</v>
      </c>
      <c r="H93" s="14" t="s">
        <v>501</v>
      </c>
      <c r="I93" s="10" t="s">
        <v>508</v>
      </c>
      <c r="J93" s="13">
        <v>30000</v>
      </c>
      <c r="K93" s="10">
        <v>1</v>
      </c>
      <c r="L93" s="300">
        <f t="shared" si="2"/>
        <v>30000</v>
      </c>
      <c r="M93" s="8"/>
      <c r="N93" s="10" t="s">
        <v>502</v>
      </c>
      <c r="O93" s="10" t="s">
        <v>509</v>
      </c>
    </row>
    <row r="94" spans="2:15" ht="13.5" customHeight="1">
      <c r="B94" s="10" t="s">
        <v>232</v>
      </c>
      <c r="C94" s="10">
        <v>2026</v>
      </c>
      <c r="D94" s="4" t="s">
        <v>499</v>
      </c>
      <c r="E94" s="58">
        <v>30316</v>
      </c>
      <c r="F94" s="10" t="s">
        <v>487</v>
      </c>
      <c r="G94" s="10">
        <v>1</v>
      </c>
      <c r="H94" s="14" t="s">
        <v>494</v>
      </c>
      <c r="I94" s="10" t="s">
        <v>510</v>
      </c>
      <c r="J94" s="13">
        <v>43000</v>
      </c>
      <c r="K94" s="10">
        <v>1</v>
      </c>
      <c r="L94" s="53">
        <f t="shared" si="2"/>
        <v>43000</v>
      </c>
      <c r="M94" s="8"/>
      <c r="N94" s="10" t="s">
        <v>502</v>
      </c>
      <c r="O94" s="10" t="s">
        <v>511</v>
      </c>
    </row>
    <row r="95" spans="2:15" ht="13.5" customHeight="1">
      <c r="B95" s="10" t="s">
        <v>221</v>
      </c>
      <c r="C95" s="10">
        <v>2026</v>
      </c>
      <c r="D95" s="4" t="s">
        <v>499</v>
      </c>
      <c r="E95" s="58">
        <v>30316</v>
      </c>
      <c r="F95" s="10" t="s">
        <v>487</v>
      </c>
      <c r="G95" s="10">
        <v>1</v>
      </c>
      <c r="H95" s="14" t="s">
        <v>494</v>
      </c>
      <c r="I95" s="10" t="s">
        <v>512</v>
      </c>
      <c r="J95" s="13">
        <v>20320</v>
      </c>
      <c r="K95" s="10">
        <v>1</v>
      </c>
      <c r="L95" s="300">
        <f t="shared" si="2"/>
        <v>20320</v>
      </c>
      <c r="M95" s="8"/>
      <c r="N95" s="10" t="s">
        <v>502</v>
      </c>
      <c r="O95" s="10" t="s">
        <v>513</v>
      </c>
    </row>
    <row r="96" spans="2:15" ht="13.5" customHeight="1">
      <c r="B96" s="10" t="s">
        <v>514</v>
      </c>
      <c r="C96" s="10">
        <v>2026</v>
      </c>
      <c r="D96" s="10" t="s">
        <v>515</v>
      </c>
      <c r="E96" s="58">
        <v>30316</v>
      </c>
      <c r="F96" s="10" t="s">
        <v>487</v>
      </c>
      <c r="G96" s="10">
        <v>1</v>
      </c>
      <c r="H96" s="14" t="s">
        <v>516</v>
      </c>
      <c r="I96" s="10" t="s">
        <v>517</v>
      </c>
      <c r="J96" s="13">
        <v>20000</v>
      </c>
      <c r="K96" s="10">
        <v>3</v>
      </c>
      <c r="L96" s="280">
        <f t="shared" si="2"/>
        <v>60000</v>
      </c>
      <c r="M96" s="8"/>
      <c r="N96" s="10" t="s">
        <v>518</v>
      </c>
      <c r="O96" s="10" t="s">
        <v>519</v>
      </c>
    </row>
    <row r="97" spans="2:16" ht="13.5" customHeight="1">
      <c r="B97" s="10" t="s">
        <v>232</v>
      </c>
      <c r="C97" s="10">
        <v>2026</v>
      </c>
      <c r="D97" s="10" t="s">
        <v>515</v>
      </c>
      <c r="E97" s="58">
        <v>30316</v>
      </c>
      <c r="F97" s="10" t="s">
        <v>487</v>
      </c>
      <c r="G97" s="10">
        <v>1</v>
      </c>
      <c r="H97" s="14" t="s">
        <v>520</v>
      </c>
      <c r="I97" s="10" t="s">
        <v>501</v>
      </c>
      <c r="J97" s="13">
        <v>10000</v>
      </c>
      <c r="K97" s="10">
        <v>1</v>
      </c>
      <c r="L97" s="53">
        <f t="shared" si="2"/>
        <v>10000</v>
      </c>
      <c r="M97" s="8"/>
      <c r="N97" s="10" t="s">
        <v>518</v>
      </c>
      <c r="O97" s="10" t="s">
        <v>521</v>
      </c>
    </row>
    <row r="98" spans="2:16" ht="16.5" customHeight="1">
      <c r="B98" s="10" t="s">
        <v>522</v>
      </c>
      <c r="C98" s="10">
        <v>2026</v>
      </c>
      <c r="D98" s="4" t="s">
        <v>523</v>
      </c>
      <c r="E98" s="58">
        <v>30316</v>
      </c>
      <c r="F98" s="10" t="s">
        <v>487</v>
      </c>
      <c r="G98" s="10">
        <v>1</v>
      </c>
      <c r="H98" s="14" t="s">
        <v>524</v>
      </c>
      <c r="I98" s="10" t="s">
        <v>525</v>
      </c>
      <c r="J98" s="17">
        <v>77000</v>
      </c>
      <c r="K98" s="10">
        <v>1</v>
      </c>
      <c r="L98" s="300">
        <f t="shared" si="2"/>
        <v>77000</v>
      </c>
      <c r="M98" s="8"/>
      <c r="N98" s="10" t="s">
        <v>526</v>
      </c>
      <c r="O98" s="10" t="s">
        <v>527</v>
      </c>
    </row>
    <row r="99" spans="2:16" ht="17.25" customHeight="1">
      <c r="B99" s="10" t="s">
        <v>221</v>
      </c>
      <c r="C99" s="10">
        <v>2026</v>
      </c>
      <c r="D99" s="4" t="s">
        <v>528</v>
      </c>
      <c r="E99" s="58">
        <v>30316</v>
      </c>
      <c r="F99" s="10" t="s">
        <v>487</v>
      </c>
      <c r="G99" s="10">
        <v>2</v>
      </c>
      <c r="H99" s="14" t="s">
        <v>501</v>
      </c>
      <c r="I99" s="10" t="s">
        <v>529</v>
      </c>
      <c r="J99" s="17">
        <v>80000</v>
      </c>
      <c r="K99" s="10">
        <v>2</v>
      </c>
      <c r="L99" s="280">
        <f t="shared" si="2"/>
        <v>160000</v>
      </c>
      <c r="M99" s="8"/>
      <c r="N99" s="10" t="s">
        <v>530</v>
      </c>
      <c r="O99" s="10" t="s">
        <v>531</v>
      </c>
    </row>
    <row r="100" spans="2:16" ht="15" customHeight="1">
      <c r="B100" s="10" t="s">
        <v>221</v>
      </c>
      <c r="C100" s="10">
        <v>2026</v>
      </c>
      <c r="D100" s="10" t="s">
        <v>515</v>
      </c>
      <c r="E100" s="58">
        <v>30316</v>
      </c>
      <c r="F100" s="10" t="s">
        <v>487</v>
      </c>
      <c r="G100" s="10">
        <v>2</v>
      </c>
      <c r="H100" s="14" t="s">
        <v>501</v>
      </c>
      <c r="I100" s="10" t="s">
        <v>532</v>
      </c>
      <c r="J100" s="17">
        <v>84000</v>
      </c>
      <c r="K100" s="10">
        <v>1</v>
      </c>
      <c r="L100" s="280">
        <f t="shared" si="2"/>
        <v>84000</v>
      </c>
      <c r="M100" s="8"/>
      <c r="N100" s="10" t="s">
        <v>518</v>
      </c>
      <c r="O100" s="10" t="s">
        <v>533</v>
      </c>
    </row>
    <row r="101" spans="2:16" ht="15" customHeight="1">
      <c r="B101" s="10" t="s">
        <v>221</v>
      </c>
      <c r="C101" s="10">
        <v>2026</v>
      </c>
      <c r="D101" s="18" t="s">
        <v>515</v>
      </c>
      <c r="E101" s="58">
        <v>30316</v>
      </c>
      <c r="F101" s="10" t="s">
        <v>487</v>
      </c>
      <c r="G101" s="10">
        <v>2</v>
      </c>
      <c r="H101" s="14" t="s">
        <v>501</v>
      </c>
      <c r="I101" s="10" t="s">
        <v>534</v>
      </c>
      <c r="J101" s="17">
        <v>28000</v>
      </c>
      <c r="K101" s="10">
        <v>1</v>
      </c>
      <c r="L101" s="280">
        <f t="shared" si="2"/>
        <v>28000</v>
      </c>
      <c r="M101" s="8"/>
      <c r="N101" s="10" t="s">
        <v>518</v>
      </c>
      <c r="O101" s="10" t="s">
        <v>535</v>
      </c>
    </row>
    <row r="102" spans="2:16" ht="15" customHeight="1">
      <c r="B102" s="10" t="s">
        <v>238</v>
      </c>
      <c r="C102" s="10">
        <v>2026</v>
      </c>
      <c r="D102" s="4" t="s">
        <v>493</v>
      </c>
      <c r="E102" s="58">
        <v>30316</v>
      </c>
      <c r="F102" s="10" t="s">
        <v>487</v>
      </c>
      <c r="G102" s="10">
        <v>1</v>
      </c>
      <c r="H102" s="14" t="s">
        <v>536</v>
      </c>
      <c r="I102" s="10" t="s">
        <v>537</v>
      </c>
      <c r="J102" s="13">
        <v>3000</v>
      </c>
      <c r="K102" s="10">
        <v>1</v>
      </c>
      <c r="L102" s="280">
        <f t="shared" si="2"/>
        <v>3000</v>
      </c>
      <c r="M102" s="8"/>
      <c r="N102" s="10" t="s">
        <v>496</v>
      </c>
      <c r="O102" s="19" t="s">
        <v>538</v>
      </c>
    </row>
    <row r="103" spans="2:16" s="31" customFormat="1" ht="55.2">
      <c r="B103" s="28" t="s">
        <v>269</v>
      </c>
      <c r="C103" s="28">
        <v>2026</v>
      </c>
      <c r="D103" s="29" t="s">
        <v>539</v>
      </c>
      <c r="E103" s="59">
        <v>30325</v>
      </c>
      <c r="F103" s="28" t="s">
        <v>540</v>
      </c>
      <c r="G103" s="28">
        <v>1</v>
      </c>
      <c r="H103" s="30" t="s">
        <v>541</v>
      </c>
      <c r="I103" s="28" t="s">
        <v>542</v>
      </c>
      <c r="J103" s="28" t="s">
        <v>543</v>
      </c>
      <c r="K103" s="28" t="s">
        <v>544</v>
      </c>
      <c r="L103" s="44"/>
      <c r="M103" s="44"/>
      <c r="N103" s="28" t="s">
        <v>545</v>
      </c>
      <c r="O103" s="45">
        <v>31200</v>
      </c>
      <c r="P103" s="39"/>
    </row>
    <row r="104" spans="2:16" ht="69">
      <c r="B104" s="11" t="s">
        <v>269</v>
      </c>
      <c r="C104" s="11">
        <v>2026</v>
      </c>
      <c r="D104" s="20" t="s">
        <v>539</v>
      </c>
      <c r="E104" s="59">
        <v>30325</v>
      </c>
      <c r="F104" s="11" t="s">
        <v>540</v>
      </c>
      <c r="G104" s="11">
        <v>1</v>
      </c>
      <c r="H104" s="21" t="s">
        <v>541</v>
      </c>
      <c r="I104" s="11" t="s">
        <v>546</v>
      </c>
      <c r="J104" s="11" t="s">
        <v>547</v>
      </c>
      <c r="K104" s="11" t="s">
        <v>544</v>
      </c>
      <c r="L104" s="280"/>
      <c r="M104" s="8"/>
      <c r="N104" s="11" t="s">
        <v>548</v>
      </c>
      <c r="O104" s="11" t="s">
        <v>549</v>
      </c>
      <c r="P104" s="24"/>
    </row>
    <row r="105" spans="2:16" ht="55.2">
      <c r="B105" s="11" t="s">
        <v>269</v>
      </c>
      <c r="C105" s="11">
        <v>2026</v>
      </c>
      <c r="D105" s="20" t="s">
        <v>539</v>
      </c>
      <c r="E105" s="59">
        <v>30325</v>
      </c>
      <c r="F105" s="11" t="s">
        <v>540</v>
      </c>
      <c r="G105" s="11">
        <v>1</v>
      </c>
      <c r="H105" s="21" t="s">
        <v>541</v>
      </c>
      <c r="I105" s="11" t="s">
        <v>550</v>
      </c>
      <c r="J105" s="11" t="s">
        <v>547</v>
      </c>
      <c r="K105" s="11" t="s">
        <v>551</v>
      </c>
      <c r="L105" s="280"/>
      <c r="M105" s="8"/>
      <c r="N105" s="11" t="s">
        <v>552</v>
      </c>
      <c r="O105" s="11" t="s">
        <v>553</v>
      </c>
      <c r="P105" s="24"/>
    </row>
    <row r="106" spans="2:16" ht="55.2">
      <c r="B106" s="11" t="s">
        <v>269</v>
      </c>
      <c r="C106" s="11">
        <v>2026</v>
      </c>
      <c r="D106" s="20" t="s">
        <v>539</v>
      </c>
      <c r="E106" s="59">
        <v>30325</v>
      </c>
      <c r="F106" s="11" t="s">
        <v>540</v>
      </c>
      <c r="G106" s="11">
        <v>1</v>
      </c>
      <c r="H106" s="21" t="s">
        <v>541</v>
      </c>
      <c r="I106" s="11" t="s">
        <v>554</v>
      </c>
      <c r="J106" s="11" t="s">
        <v>547</v>
      </c>
      <c r="K106" s="11" t="s">
        <v>551</v>
      </c>
      <c r="L106" s="280"/>
      <c r="M106" s="8"/>
      <c r="N106" s="11" t="s">
        <v>552</v>
      </c>
      <c r="O106" s="11" t="s">
        <v>553</v>
      </c>
      <c r="P106" s="24"/>
    </row>
    <row r="107" spans="2:16" ht="41.4">
      <c r="B107" s="11" t="s">
        <v>269</v>
      </c>
      <c r="C107" s="11">
        <v>2026</v>
      </c>
      <c r="D107" s="20" t="s">
        <v>539</v>
      </c>
      <c r="E107" s="59">
        <v>30325</v>
      </c>
      <c r="F107" s="11" t="s">
        <v>555</v>
      </c>
      <c r="G107" s="11">
        <v>1</v>
      </c>
      <c r="H107" s="36" t="s">
        <v>556</v>
      </c>
      <c r="I107" s="11" t="s">
        <v>557</v>
      </c>
      <c r="J107" s="11" t="s">
        <v>558</v>
      </c>
      <c r="K107" s="11" t="s">
        <v>559</v>
      </c>
      <c r="L107" s="280"/>
      <c r="M107" s="8"/>
      <c r="N107" s="11" t="s">
        <v>560</v>
      </c>
      <c r="O107" s="16" t="s">
        <v>561</v>
      </c>
      <c r="P107" s="65" t="s">
        <v>562</v>
      </c>
    </row>
    <row r="108" spans="2:16" ht="41.4">
      <c r="B108" s="11" t="s">
        <v>269</v>
      </c>
      <c r="C108" s="11">
        <v>2026</v>
      </c>
      <c r="D108" s="20" t="s">
        <v>539</v>
      </c>
      <c r="E108" s="59">
        <v>30325</v>
      </c>
      <c r="F108" s="11" t="s">
        <v>555</v>
      </c>
      <c r="G108" s="11">
        <v>1</v>
      </c>
      <c r="H108" s="36" t="s">
        <v>556</v>
      </c>
      <c r="I108" s="11" t="s">
        <v>557</v>
      </c>
      <c r="J108" s="11" t="s">
        <v>563</v>
      </c>
      <c r="K108" s="11" t="s">
        <v>564</v>
      </c>
      <c r="L108" s="280"/>
      <c r="M108" s="8"/>
      <c r="N108" s="11" t="s">
        <v>560</v>
      </c>
      <c r="O108" s="16" t="s">
        <v>565</v>
      </c>
      <c r="P108" s="65" t="s">
        <v>562</v>
      </c>
    </row>
    <row r="109" spans="2:16" ht="41.4">
      <c r="B109" s="11" t="s">
        <v>269</v>
      </c>
      <c r="C109" s="11">
        <v>2026</v>
      </c>
      <c r="D109" s="20" t="s">
        <v>539</v>
      </c>
      <c r="E109" s="59">
        <v>30325</v>
      </c>
      <c r="F109" s="11" t="s">
        <v>555</v>
      </c>
      <c r="G109" s="11">
        <v>1</v>
      </c>
      <c r="H109" s="36" t="s">
        <v>556</v>
      </c>
      <c r="I109" s="11" t="s">
        <v>557</v>
      </c>
      <c r="J109" s="22">
        <v>24030.02</v>
      </c>
      <c r="K109" s="11" t="s">
        <v>566</v>
      </c>
      <c r="L109" s="280"/>
      <c r="M109" s="8"/>
      <c r="N109" s="11" t="s">
        <v>560</v>
      </c>
      <c r="O109" s="16" t="s">
        <v>567</v>
      </c>
      <c r="P109" s="65" t="s">
        <v>562</v>
      </c>
    </row>
    <row r="110" spans="2:16" ht="41.4">
      <c r="B110" s="11" t="s">
        <v>269</v>
      </c>
      <c r="C110" s="11">
        <v>2026</v>
      </c>
      <c r="D110" s="20" t="s">
        <v>539</v>
      </c>
      <c r="E110" s="59">
        <v>30325</v>
      </c>
      <c r="F110" s="11" t="s">
        <v>555</v>
      </c>
      <c r="G110" s="11">
        <v>1</v>
      </c>
      <c r="H110" s="36" t="s">
        <v>556</v>
      </c>
      <c r="I110" s="11" t="s">
        <v>557</v>
      </c>
      <c r="J110" s="11" t="s">
        <v>568</v>
      </c>
      <c r="K110" s="11" t="s">
        <v>566</v>
      </c>
      <c r="L110" s="280"/>
      <c r="M110" s="8"/>
      <c r="N110" s="32" t="s">
        <v>560</v>
      </c>
      <c r="O110" s="16" t="s">
        <v>569</v>
      </c>
      <c r="P110" s="65" t="s">
        <v>562</v>
      </c>
    </row>
    <row r="111" spans="2:16" ht="41.4">
      <c r="B111" s="11" t="s">
        <v>269</v>
      </c>
      <c r="C111" s="11">
        <v>2026</v>
      </c>
      <c r="D111" s="20" t="s">
        <v>539</v>
      </c>
      <c r="E111" s="59">
        <v>30325</v>
      </c>
      <c r="F111" s="11" t="s">
        <v>555</v>
      </c>
      <c r="G111" s="11">
        <v>1</v>
      </c>
      <c r="H111" s="36" t="s">
        <v>556</v>
      </c>
      <c r="I111" s="11" t="s">
        <v>557</v>
      </c>
      <c r="J111" s="11" t="s">
        <v>570</v>
      </c>
      <c r="K111" s="11" t="s">
        <v>564</v>
      </c>
      <c r="L111" s="280"/>
      <c r="M111" s="8"/>
      <c r="N111" s="32" t="s">
        <v>560</v>
      </c>
      <c r="O111" s="11" t="s">
        <v>571</v>
      </c>
      <c r="P111" s="33" t="s">
        <v>572</v>
      </c>
    </row>
    <row r="112" spans="2:16" ht="41.4">
      <c r="B112" s="11" t="s">
        <v>269</v>
      </c>
      <c r="C112" s="11">
        <v>2026</v>
      </c>
      <c r="D112" s="20" t="s">
        <v>539</v>
      </c>
      <c r="E112" s="59">
        <v>30325</v>
      </c>
      <c r="F112" s="11" t="s">
        <v>555</v>
      </c>
      <c r="G112" s="11">
        <v>1</v>
      </c>
      <c r="H112" s="36" t="s">
        <v>556</v>
      </c>
      <c r="I112" s="11" t="s">
        <v>557</v>
      </c>
      <c r="J112" s="11" t="s">
        <v>570</v>
      </c>
      <c r="K112" s="11" t="s">
        <v>566</v>
      </c>
      <c r="L112" s="280"/>
      <c r="M112" s="8"/>
      <c r="N112" s="32" t="s">
        <v>560</v>
      </c>
      <c r="O112" s="34" t="s">
        <v>573</v>
      </c>
      <c r="P112" s="66" t="s">
        <v>574</v>
      </c>
    </row>
    <row r="113" spans="2:16" ht="17.25" customHeight="1">
      <c r="B113" s="11" t="s">
        <v>269</v>
      </c>
      <c r="C113" s="11">
        <v>2026</v>
      </c>
      <c r="D113" s="20" t="s">
        <v>539</v>
      </c>
      <c r="E113" s="59">
        <v>30325</v>
      </c>
      <c r="F113" s="11" t="s">
        <v>555</v>
      </c>
      <c r="G113" s="11">
        <v>1</v>
      </c>
      <c r="H113" s="36" t="s">
        <v>556</v>
      </c>
      <c r="I113" s="11" t="s">
        <v>557</v>
      </c>
      <c r="J113" s="11" t="s">
        <v>570</v>
      </c>
      <c r="K113" s="11" t="s">
        <v>566</v>
      </c>
      <c r="L113" s="280"/>
      <c r="M113" s="8"/>
      <c r="N113" s="32" t="s">
        <v>560</v>
      </c>
      <c r="O113" s="11" t="s">
        <v>575</v>
      </c>
      <c r="P113" s="66" t="s">
        <v>576</v>
      </c>
    </row>
    <row r="114" spans="2:16" ht="41.4">
      <c r="B114" s="11" t="s">
        <v>269</v>
      </c>
      <c r="C114" s="11">
        <v>2026</v>
      </c>
      <c r="D114" s="20" t="s">
        <v>539</v>
      </c>
      <c r="E114" s="59">
        <v>30325</v>
      </c>
      <c r="F114" s="11" t="s">
        <v>555</v>
      </c>
      <c r="G114" s="11">
        <v>1</v>
      </c>
      <c r="H114" s="36" t="s">
        <v>556</v>
      </c>
      <c r="I114" s="11" t="s">
        <v>557</v>
      </c>
      <c r="J114" s="11" t="s">
        <v>570</v>
      </c>
      <c r="K114" s="11" t="s">
        <v>566</v>
      </c>
      <c r="L114" s="280"/>
      <c r="M114" s="8"/>
      <c r="N114" s="32" t="s">
        <v>560</v>
      </c>
      <c r="O114" s="34" t="s">
        <v>577</v>
      </c>
      <c r="P114" s="25" t="s">
        <v>578</v>
      </c>
    </row>
    <row r="115" spans="2:16" ht="41.4">
      <c r="B115" s="11" t="s">
        <v>269</v>
      </c>
      <c r="C115" s="11">
        <v>2026</v>
      </c>
      <c r="D115" s="20" t="s">
        <v>539</v>
      </c>
      <c r="E115" s="59">
        <v>30325</v>
      </c>
      <c r="F115" s="11" t="s">
        <v>555</v>
      </c>
      <c r="G115" s="11">
        <v>1</v>
      </c>
      <c r="H115" s="36" t="s">
        <v>556</v>
      </c>
      <c r="I115" s="11" t="s">
        <v>557</v>
      </c>
      <c r="J115" s="11" t="s">
        <v>570</v>
      </c>
      <c r="K115" s="11" t="s">
        <v>566</v>
      </c>
      <c r="L115" s="280"/>
      <c r="M115" s="8"/>
      <c r="N115" s="32" t="s">
        <v>560</v>
      </c>
      <c r="O115" s="34" t="s">
        <v>579</v>
      </c>
      <c r="P115" s="66" t="s">
        <v>580</v>
      </c>
    </row>
    <row r="116" spans="2:16" ht="41.4">
      <c r="B116" s="11" t="s">
        <v>269</v>
      </c>
      <c r="C116" s="11">
        <v>2026</v>
      </c>
      <c r="D116" s="20" t="s">
        <v>539</v>
      </c>
      <c r="E116" s="59">
        <v>30325</v>
      </c>
      <c r="F116" s="11" t="s">
        <v>555</v>
      </c>
      <c r="G116" s="11">
        <v>1</v>
      </c>
      <c r="H116" s="36" t="s">
        <v>556</v>
      </c>
      <c r="I116" s="11" t="s">
        <v>557</v>
      </c>
      <c r="J116" s="11" t="s">
        <v>581</v>
      </c>
      <c r="K116" s="11"/>
      <c r="L116" s="280"/>
      <c r="M116" s="8"/>
      <c r="N116" s="32" t="s">
        <v>560</v>
      </c>
      <c r="O116" s="34" t="s">
        <v>582</v>
      </c>
      <c r="P116" s="25" t="s">
        <v>583</v>
      </c>
    </row>
    <row r="117" spans="2:16" ht="15" customHeight="1">
      <c r="B117" s="11" t="s">
        <v>269</v>
      </c>
      <c r="C117" s="11">
        <v>2026</v>
      </c>
      <c r="D117" s="20" t="s">
        <v>539</v>
      </c>
      <c r="E117" s="59">
        <v>30325</v>
      </c>
      <c r="F117" s="11" t="s">
        <v>555</v>
      </c>
      <c r="G117" s="11">
        <v>1</v>
      </c>
      <c r="H117" s="36" t="s">
        <v>556</v>
      </c>
      <c r="I117" s="11" t="s">
        <v>557</v>
      </c>
      <c r="J117" s="11" t="s">
        <v>584</v>
      </c>
      <c r="K117" s="11"/>
      <c r="L117" s="280"/>
      <c r="M117" s="8"/>
      <c r="N117" s="32" t="s">
        <v>560</v>
      </c>
      <c r="O117" s="34" t="s">
        <v>585</v>
      </c>
      <c r="P117" s="25" t="s">
        <v>586</v>
      </c>
    </row>
    <row r="118" spans="2:16" ht="41.4">
      <c r="B118" s="11" t="s">
        <v>269</v>
      </c>
      <c r="C118" s="11">
        <v>2026</v>
      </c>
      <c r="D118" s="20" t="s">
        <v>539</v>
      </c>
      <c r="E118" s="59">
        <v>30325</v>
      </c>
      <c r="F118" s="11" t="s">
        <v>555</v>
      </c>
      <c r="G118" s="11">
        <v>1</v>
      </c>
      <c r="H118" s="36" t="s">
        <v>556</v>
      </c>
      <c r="I118" s="11" t="s">
        <v>557</v>
      </c>
      <c r="J118" s="11" t="s">
        <v>587</v>
      </c>
      <c r="K118" s="11" t="s">
        <v>566</v>
      </c>
      <c r="L118" s="280"/>
      <c r="M118" s="8"/>
      <c r="N118" s="32" t="s">
        <v>560</v>
      </c>
      <c r="O118" s="34" t="s">
        <v>588</v>
      </c>
      <c r="P118" s="25" t="s">
        <v>589</v>
      </c>
    </row>
    <row r="119" spans="2:16" ht="27.6">
      <c r="B119" s="11" t="s">
        <v>269</v>
      </c>
      <c r="C119" s="11">
        <v>2026</v>
      </c>
      <c r="D119" s="20" t="s">
        <v>539</v>
      </c>
      <c r="E119" s="59">
        <v>30325</v>
      </c>
      <c r="F119" s="11" t="s">
        <v>555</v>
      </c>
      <c r="G119" s="11">
        <v>1</v>
      </c>
      <c r="H119" s="36" t="s">
        <v>556</v>
      </c>
      <c r="I119" s="11" t="s">
        <v>557</v>
      </c>
      <c r="J119" s="11" t="s">
        <v>590</v>
      </c>
      <c r="K119" s="11"/>
      <c r="L119" s="280"/>
      <c r="M119" s="8"/>
      <c r="N119" s="32" t="s">
        <v>560</v>
      </c>
      <c r="O119" s="34" t="s">
        <v>591</v>
      </c>
      <c r="P119" s="66" t="s">
        <v>592</v>
      </c>
    </row>
    <row r="120" spans="2:16" ht="27.6">
      <c r="B120" s="11" t="s">
        <v>269</v>
      </c>
      <c r="C120" s="11">
        <v>2026</v>
      </c>
      <c r="D120" s="20" t="s">
        <v>539</v>
      </c>
      <c r="E120" s="59">
        <v>30325</v>
      </c>
      <c r="F120" s="11" t="s">
        <v>555</v>
      </c>
      <c r="G120" s="11">
        <v>1</v>
      </c>
      <c r="H120" s="36" t="s">
        <v>556</v>
      </c>
      <c r="I120" s="11" t="s">
        <v>557</v>
      </c>
      <c r="J120" s="23">
        <v>1200</v>
      </c>
      <c r="K120" s="11" t="s">
        <v>564</v>
      </c>
      <c r="L120" s="280"/>
      <c r="M120" s="8"/>
      <c r="N120" s="32" t="s">
        <v>560</v>
      </c>
      <c r="O120" s="34" t="s">
        <v>593</v>
      </c>
      <c r="P120" s="25" t="s">
        <v>594</v>
      </c>
    </row>
    <row r="121" spans="2:16" ht="27.6">
      <c r="B121" s="11" t="s">
        <v>269</v>
      </c>
      <c r="C121" s="11">
        <v>2026</v>
      </c>
      <c r="D121" s="20" t="s">
        <v>539</v>
      </c>
      <c r="E121" s="59">
        <v>30325</v>
      </c>
      <c r="F121" s="11" t="s">
        <v>555</v>
      </c>
      <c r="G121" s="11">
        <v>1</v>
      </c>
      <c r="H121" s="36" t="s">
        <v>556</v>
      </c>
      <c r="I121" s="11" t="s">
        <v>557</v>
      </c>
      <c r="J121" s="23">
        <v>310</v>
      </c>
      <c r="K121" s="11" t="s">
        <v>559</v>
      </c>
      <c r="L121" s="280"/>
      <c r="M121" s="8"/>
      <c r="N121" s="32" t="s">
        <v>560</v>
      </c>
      <c r="O121" s="34" t="s">
        <v>595</v>
      </c>
      <c r="P121" s="66" t="s">
        <v>596</v>
      </c>
    </row>
    <row r="122" spans="2:16" ht="41.4">
      <c r="B122" s="11" t="s">
        <v>269</v>
      </c>
      <c r="C122" s="11">
        <v>2026</v>
      </c>
      <c r="D122" s="20" t="s">
        <v>539</v>
      </c>
      <c r="E122" s="59">
        <v>30325</v>
      </c>
      <c r="F122" s="11" t="s">
        <v>555</v>
      </c>
      <c r="G122" s="11">
        <v>1</v>
      </c>
      <c r="H122" s="36" t="s">
        <v>556</v>
      </c>
      <c r="I122" s="11" t="s">
        <v>557</v>
      </c>
      <c r="J122" s="23">
        <v>7000</v>
      </c>
      <c r="K122" s="11"/>
      <c r="L122" s="280"/>
      <c r="M122" s="8"/>
      <c r="N122" s="32" t="s">
        <v>560</v>
      </c>
      <c r="O122" s="34" t="s">
        <v>597</v>
      </c>
      <c r="P122" s="66" t="s">
        <v>598</v>
      </c>
    </row>
    <row r="123" spans="2:16" ht="17.25" customHeight="1">
      <c r="B123" s="11" t="s">
        <v>269</v>
      </c>
      <c r="C123" s="11">
        <v>2026</v>
      </c>
      <c r="D123" s="20" t="s">
        <v>539</v>
      </c>
      <c r="E123" s="59">
        <v>30325</v>
      </c>
      <c r="F123" s="11" t="s">
        <v>555</v>
      </c>
      <c r="G123" s="11">
        <v>1</v>
      </c>
      <c r="H123" s="36" t="s">
        <v>556</v>
      </c>
      <c r="I123" s="11" t="s">
        <v>557</v>
      </c>
      <c r="J123" s="23">
        <v>25000</v>
      </c>
      <c r="K123" s="11" t="s">
        <v>566</v>
      </c>
      <c r="L123" s="280"/>
      <c r="M123" s="8"/>
      <c r="N123" s="32" t="s">
        <v>560</v>
      </c>
      <c r="O123" s="34" t="s">
        <v>599</v>
      </c>
      <c r="P123" s="66" t="s">
        <v>600</v>
      </c>
    </row>
    <row r="124" spans="2:16" ht="41.4">
      <c r="B124" s="11" t="s">
        <v>269</v>
      </c>
      <c r="C124" s="11">
        <v>2026</v>
      </c>
      <c r="D124" s="20" t="s">
        <v>539</v>
      </c>
      <c r="E124" s="59">
        <v>30325</v>
      </c>
      <c r="F124" s="11" t="s">
        <v>555</v>
      </c>
      <c r="G124" s="11">
        <v>1</v>
      </c>
      <c r="H124" s="36" t="s">
        <v>556</v>
      </c>
      <c r="I124" s="11" t="s">
        <v>557</v>
      </c>
      <c r="J124" s="23">
        <v>1500</v>
      </c>
      <c r="K124" s="11" t="s">
        <v>601</v>
      </c>
      <c r="L124" s="280"/>
      <c r="M124" s="8"/>
      <c r="N124" s="11" t="s">
        <v>560</v>
      </c>
      <c r="O124" s="34" t="s">
        <v>602</v>
      </c>
      <c r="P124" s="66" t="s">
        <v>603</v>
      </c>
    </row>
    <row r="125" spans="2:16" ht="41.4">
      <c r="B125" s="11" t="s">
        <v>269</v>
      </c>
      <c r="C125" s="11">
        <v>2026</v>
      </c>
      <c r="D125" s="20" t="s">
        <v>539</v>
      </c>
      <c r="E125" s="59">
        <v>30325</v>
      </c>
      <c r="F125" s="11" t="s">
        <v>555</v>
      </c>
      <c r="G125" s="11">
        <v>1</v>
      </c>
      <c r="H125" s="36" t="s">
        <v>556</v>
      </c>
      <c r="I125" s="11" t="s">
        <v>557</v>
      </c>
      <c r="J125" s="11" t="s">
        <v>568</v>
      </c>
      <c r="K125" s="11"/>
      <c r="L125" s="280"/>
      <c r="M125" s="8"/>
      <c r="N125" s="11" t="s">
        <v>560</v>
      </c>
      <c r="O125" s="11" t="s">
        <v>604</v>
      </c>
      <c r="P125" s="67" t="s">
        <v>605</v>
      </c>
    </row>
    <row r="126" spans="2:16" ht="41.4">
      <c r="B126" s="11" t="s">
        <v>269</v>
      </c>
      <c r="C126" s="11">
        <v>2026</v>
      </c>
      <c r="D126" s="20" t="s">
        <v>539</v>
      </c>
      <c r="E126" s="59">
        <v>30325</v>
      </c>
      <c r="F126" s="11" t="s">
        <v>555</v>
      </c>
      <c r="G126" s="11"/>
      <c r="H126" s="36" t="s">
        <v>556</v>
      </c>
      <c r="I126" s="11" t="s">
        <v>557</v>
      </c>
      <c r="J126" s="11" t="s">
        <v>606</v>
      </c>
      <c r="K126" s="11"/>
      <c r="L126" s="280"/>
      <c r="M126" s="8"/>
      <c r="N126" s="11" t="s">
        <v>560</v>
      </c>
      <c r="O126" s="11" t="s">
        <v>607</v>
      </c>
      <c r="P126" s="24" t="s">
        <v>608</v>
      </c>
    </row>
    <row r="127" spans="2:16" ht="41.4">
      <c r="B127" s="11" t="s">
        <v>269</v>
      </c>
      <c r="C127" s="11">
        <v>2026</v>
      </c>
      <c r="D127" s="20" t="s">
        <v>539</v>
      </c>
      <c r="E127" s="59">
        <v>30325</v>
      </c>
      <c r="F127" s="11" t="s">
        <v>555</v>
      </c>
      <c r="G127" s="11"/>
      <c r="H127" s="36" t="s">
        <v>556</v>
      </c>
      <c r="I127" s="11" t="s">
        <v>557</v>
      </c>
      <c r="J127" s="11" t="s">
        <v>606</v>
      </c>
      <c r="K127" s="11"/>
      <c r="L127" s="280"/>
      <c r="M127" s="8"/>
      <c r="N127" s="11" t="s">
        <v>560</v>
      </c>
      <c r="O127" s="11" t="s">
        <v>609</v>
      </c>
      <c r="P127" s="24"/>
    </row>
    <row r="128" spans="2:16" ht="41.4">
      <c r="B128" s="11" t="s">
        <v>269</v>
      </c>
      <c r="C128" s="11">
        <v>2026</v>
      </c>
      <c r="D128" s="20" t="s">
        <v>539</v>
      </c>
      <c r="E128" s="59">
        <v>30325</v>
      </c>
      <c r="F128" s="11" t="s">
        <v>555</v>
      </c>
      <c r="G128" s="11"/>
      <c r="H128" s="36" t="s">
        <v>556</v>
      </c>
      <c r="I128" s="11" t="s">
        <v>557</v>
      </c>
      <c r="J128" s="11" t="s">
        <v>606</v>
      </c>
      <c r="K128" s="11"/>
      <c r="L128" s="280"/>
      <c r="M128" s="8"/>
      <c r="N128" s="11" t="s">
        <v>560</v>
      </c>
      <c r="O128" s="11" t="s">
        <v>610</v>
      </c>
      <c r="P128" s="67" t="s">
        <v>611</v>
      </c>
    </row>
    <row r="129" spans="2:16" ht="18" customHeight="1">
      <c r="B129" s="11" t="s">
        <v>269</v>
      </c>
      <c r="C129" s="11">
        <v>2026</v>
      </c>
      <c r="D129" s="20" t="s">
        <v>539</v>
      </c>
      <c r="E129" s="59">
        <v>30325</v>
      </c>
      <c r="F129" s="11" t="s">
        <v>555</v>
      </c>
      <c r="G129" s="11">
        <v>1</v>
      </c>
      <c r="H129" s="36" t="s">
        <v>556</v>
      </c>
      <c r="I129" s="11" t="s">
        <v>612</v>
      </c>
      <c r="J129" s="11" t="s">
        <v>613</v>
      </c>
      <c r="K129" s="11" t="s">
        <v>614</v>
      </c>
      <c r="L129" s="280"/>
      <c r="M129" s="8"/>
      <c r="N129" s="11" t="s">
        <v>560</v>
      </c>
      <c r="O129" s="11" t="s">
        <v>615</v>
      </c>
      <c r="P129" s="67" t="s">
        <v>616</v>
      </c>
    </row>
    <row r="130" spans="2:16" ht="21" customHeight="1">
      <c r="B130" s="11" t="s">
        <v>269</v>
      </c>
      <c r="C130" s="11">
        <v>2026</v>
      </c>
      <c r="D130" s="20" t="s">
        <v>539</v>
      </c>
      <c r="E130" s="59">
        <v>30325</v>
      </c>
      <c r="F130" s="11" t="s">
        <v>555</v>
      </c>
      <c r="G130" s="11">
        <v>1</v>
      </c>
      <c r="H130" s="36" t="s">
        <v>556</v>
      </c>
      <c r="I130" s="11" t="s">
        <v>617</v>
      </c>
      <c r="J130" s="11" t="s">
        <v>618</v>
      </c>
      <c r="K130" s="11" t="s">
        <v>619</v>
      </c>
      <c r="L130" s="280"/>
      <c r="M130" s="8"/>
      <c r="N130" s="11" t="s">
        <v>560</v>
      </c>
      <c r="O130" s="11" t="s">
        <v>620</v>
      </c>
      <c r="P130" s="68" t="s">
        <v>621</v>
      </c>
    </row>
    <row r="131" spans="2:16" ht="18.75" customHeight="1">
      <c r="B131" s="11" t="s">
        <v>269</v>
      </c>
      <c r="C131" s="11">
        <v>2026</v>
      </c>
      <c r="D131" s="20" t="s">
        <v>539</v>
      </c>
      <c r="E131" s="59">
        <v>30325</v>
      </c>
      <c r="F131" s="11" t="s">
        <v>555</v>
      </c>
      <c r="G131" s="11">
        <v>1</v>
      </c>
      <c r="H131" s="36" t="s">
        <v>556</v>
      </c>
      <c r="I131" s="11" t="s">
        <v>622</v>
      </c>
      <c r="J131" s="11" t="s">
        <v>623</v>
      </c>
      <c r="K131" s="11" t="s">
        <v>624</v>
      </c>
      <c r="L131" s="280"/>
      <c r="M131" s="8"/>
      <c r="N131" s="11" t="s">
        <v>560</v>
      </c>
      <c r="O131" s="11" t="s">
        <v>625</v>
      </c>
      <c r="P131" s="67" t="s">
        <v>626</v>
      </c>
    </row>
    <row r="132" spans="2:16" ht="20.25" customHeight="1">
      <c r="B132" s="11" t="s">
        <v>269</v>
      </c>
      <c r="C132" s="11">
        <v>2026</v>
      </c>
      <c r="D132" s="20" t="s">
        <v>539</v>
      </c>
      <c r="E132" s="59">
        <v>30325</v>
      </c>
      <c r="F132" s="11" t="s">
        <v>555</v>
      </c>
      <c r="G132" s="11">
        <v>1</v>
      </c>
      <c r="H132" s="36" t="s">
        <v>556</v>
      </c>
      <c r="I132" s="11" t="s">
        <v>622</v>
      </c>
      <c r="J132" s="11" t="s">
        <v>627</v>
      </c>
      <c r="K132" s="11" t="s">
        <v>628</v>
      </c>
      <c r="L132" s="280"/>
      <c r="M132" s="8"/>
      <c r="N132" s="11" t="s">
        <v>560</v>
      </c>
      <c r="O132" s="11" t="s">
        <v>629</v>
      </c>
      <c r="P132" s="67" t="s">
        <v>630</v>
      </c>
    </row>
    <row r="133" spans="2:16" ht="41.4">
      <c r="B133" s="11"/>
      <c r="C133" s="11"/>
      <c r="D133" s="11"/>
      <c r="E133" s="59">
        <v>30325</v>
      </c>
      <c r="F133" s="11"/>
      <c r="G133" s="11"/>
      <c r="H133" s="36"/>
      <c r="I133" s="11"/>
      <c r="J133" s="11"/>
      <c r="K133" s="11"/>
      <c r="L133" s="280"/>
      <c r="M133" s="8"/>
      <c r="N133" s="11" t="s">
        <v>560</v>
      </c>
      <c r="O133" s="280"/>
      <c r="P133" s="24"/>
    </row>
    <row r="134" spans="2:16" ht="69">
      <c r="B134" s="11"/>
      <c r="C134" s="11">
        <v>2026</v>
      </c>
      <c r="D134" s="20" t="s">
        <v>539</v>
      </c>
      <c r="E134" s="59">
        <v>30325</v>
      </c>
      <c r="F134" s="11"/>
      <c r="G134" s="11"/>
      <c r="H134" s="36" t="s">
        <v>631</v>
      </c>
      <c r="I134" s="11"/>
      <c r="J134" s="11" t="s">
        <v>632</v>
      </c>
      <c r="K134" s="11"/>
      <c r="L134" s="280"/>
      <c r="M134" s="8"/>
      <c r="N134" s="11" t="s">
        <v>633</v>
      </c>
      <c r="O134" s="11"/>
      <c r="P134" s="24"/>
    </row>
    <row r="135" spans="2:16" ht="55.2">
      <c r="B135" s="11"/>
      <c r="C135" s="11">
        <v>2026</v>
      </c>
      <c r="D135" s="20" t="s">
        <v>539</v>
      </c>
      <c r="E135" s="59">
        <v>30325</v>
      </c>
      <c r="F135" s="11" t="s">
        <v>555</v>
      </c>
      <c r="G135" s="11">
        <v>1</v>
      </c>
      <c r="H135" s="36" t="s">
        <v>634</v>
      </c>
      <c r="I135" s="11" t="s">
        <v>635</v>
      </c>
      <c r="J135" s="11" t="s">
        <v>636</v>
      </c>
      <c r="K135" s="11">
        <v>2</v>
      </c>
      <c r="L135" s="280"/>
      <c r="M135" s="8"/>
      <c r="N135" s="11" t="s">
        <v>633</v>
      </c>
      <c r="O135" s="11" t="s">
        <v>637</v>
      </c>
      <c r="P135" s="24"/>
    </row>
    <row r="136" spans="2:16" ht="27.6">
      <c r="B136" s="11"/>
      <c r="C136" s="11">
        <v>2026</v>
      </c>
      <c r="D136" s="11"/>
      <c r="E136" s="59">
        <v>30325</v>
      </c>
      <c r="F136" s="11" t="s">
        <v>555</v>
      </c>
      <c r="G136" s="11"/>
      <c r="H136" s="36"/>
      <c r="I136" s="11" t="s">
        <v>372</v>
      </c>
      <c r="J136" s="11"/>
      <c r="K136" s="11"/>
      <c r="L136" s="280"/>
      <c r="M136" s="8"/>
      <c r="N136" s="11" t="s">
        <v>633</v>
      </c>
      <c r="O136" s="11" t="s">
        <v>638</v>
      </c>
      <c r="P136" s="24"/>
    </row>
    <row r="137" spans="2:16" ht="27.6">
      <c r="B137" s="11" t="s">
        <v>238</v>
      </c>
      <c r="C137" s="11">
        <v>2026</v>
      </c>
      <c r="D137" s="20" t="s">
        <v>539</v>
      </c>
      <c r="E137" s="59">
        <v>30325</v>
      </c>
      <c r="F137" s="11" t="s">
        <v>555</v>
      </c>
      <c r="G137" s="11"/>
      <c r="H137" s="36"/>
      <c r="I137" s="11" t="s">
        <v>639</v>
      </c>
      <c r="J137" s="11" t="s">
        <v>477</v>
      </c>
      <c r="K137" s="11"/>
      <c r="L137" s="280"/>
      <c r="M137" s="8"/>
      <c r="N137" s="11" t="s">
        <v>633</v>
      </c>
      <c r="O137" s="11"/>
      <c r="P137" s="24"/>
    </row>
    <row r="138" spans="2:16" ht="41.4">
      <c r="B138" s="11" t="s">
        <v>238</v>
      </c>
      <c r="C138" s="11">
        <v>2026</v>
      </c>
      <c r="D138" s="20" t="s">
        <v>539</v>
      </c>
      <c r="E138" s="59">
        <v>30325</v>
      </c>
      <c r="F138" s="11" t="s">
        <v>555</v>
      </c>
      <c r="G138" s="11">
        <v>2</v>
      </c>
      <c r="H138" s="36" t="s">
        <v>640</v>
      </c>
      <c r="I138" s="11" t="s">
        <v>641</v>
      </c>
      <c r="J138" s="11" t="s">
        <v>477</v>
      </c>
      <c r="K138" s="11"/>
      <c r="L138" s="280"/>
      <c r="M138" s="8"/>
      <c r="N138" s="11" t="s">
        <v>633</v>
      </c>
      <c r="O138" s="11" t="s">
        <v>642</v>
      </c>
      <c r="P138" s="24"/>
    </row>
    <row r="139" spans="2:16" ht="124.2">
      <c r="B139" s="27" t="s">
        <v>121</v>
      </c>
      <c r="C139" s="27">
        <v>2026</v>
      </c>
      <c r="D139" s="26" t="s">
        <v>643</v>
      </c>
      <c r="E139" s="60">
        <v>50204</v>
      </c>
      <c r="F139" s="27" t="s">
        <v>170</v>
      </c>
      <c r="G139" s="280">
        <v>1</v>
      </c>
      <c r="H139" s="37" t="s">
        <v>644</v>
      </c>
      <c r="I139" s="35" t="s">
        <v>645</v>
      </c>
      <c r="J139" s="35" t="s">
        <v>646</v>
      </c>
      <c r="K139" s="35" t="s">
        <v>647</v>
      </c>
      <c r="L139" s="280">
        <v>30000</v>
      </c>
      <c r="M139" s="8"/>
      <c r="N139" s="11" t="s">
        <v>648</v>
      </c>
      <c r="O139" s="11" t="s">
        <v>649</v>
      </c>
    </row>
    <row r="140" spans="2:16" ht="45" customHeight="1">
      <c r="B140" s="27" t="s">
        <v>121</v>
      </c>
      <c r="C140" s="27">
        <v>2026</v>
      </c>
      <c r="D140" s="26" t="s">
        <v>643</v>
      </c>
      <c r="E140" s="60">
        <v>50204</v>
      </c>
      <c r="F140" s="27" t="s">
        <v>170</v>
      </c>
      <c r="G140" s="280">
        <v>1</v>
      </c>
      <c r="H140" s="37" t="s">
        <v>650</v>
      </c>
      <c r="I140" s="280"/>
      <c r="J140" s="35" t="s">
        <v>651</v>
      </c>
      <c r="K140" s="35" t="s">
        <v>652</v>
      </c>
      <c r="L140" s="280"/>
      <c r="M140" s="8"/>
      <c r="N140" s="11" t="s">
        <v>648</v>
      </c>
      <c r="O140" s="11" t="s">
        <v>649</v>
      </c>
    </row>
    <row r="141" spans="2:16" ht="18.75" customHeight="1">
      <c r="B141" s="27" t="s">
        <v>121</v>
      </c>
      <c r="C141" s="27">
        <v>2026</v>
      </c>
      <c r="D141" s="26" t="s">
        <v>643</v>
      </c>
      <c r="E141" s="60">
        <v>50204</v>
      </c>
      <c r="F141" s="27" t="s">
        <v>170</v>
      </c>
      <c r="G141" s="280">
        <v>1</v>
      </c>
      <c r="H141" s="37" t="s">
        <v>653</v>
      </c>
      <c r="I141" s="280"/>
      <c r="J141" s="35" t="s">
        <v>654</v>
      </c>
      <c r="K141" s="35" t="s">
        <v>655</v>
      </c>
      <c r="L141" s="280"/>
      <c r="M141" s="8"/>
      <c r="N141" s="11" t="s">
        <v>648</v>
      </c>
      <c r="O141" s="11" t="s">
        <v>649</v>
      </c>
    </row>
    <row r="142" spans="2:16" ht="69">
      <c r="B142" s="27" t="s">
        <v>121</v>
      </c>
      <c r="C142" s="27">
        <v>2026</v>
      </c>
      <c r="D142" s="26" t="s">
        <v>643</v>
      </c>
      <c r="E142" s="60">
        <v>50204</v>
      </c>
      <c r="F142" s="27" t="s">
        <v>170</v>
      </c>
      <c r="G142" s="280">
        <v>1</v>
      </c>
      <c r="H142" s="37" t="s">
        <v>656</v>
      </c>
      <c r="I142" s="280"/>
      <c r="J142" s="35" t="s">
        <v>657</v>
      </c>
      <c r="K142" s="35" t="s">
        <v>658</v>
      </c>
      <c r="L142" s="280"/>
      <c r="M142" s="8"/>
      <c r="N142" s="11" t="s">
        <v>648</v>
      </c>
      <c r="O142" s="11" t="s">
        <v>649</v>
      </c>
    </row>
    <row r="143" spans="2:16" ht="24.75" customHeight="1">
      <c r="B143" s="27" t="s">
        <v>121</v>
      </c>
      <c r="C143" s="27">
        <v>2026</v>
      </c>
      <c r="D143" s="26" t="s">
        <v>643</v>
      </c>
      <c r="E143" s="60">
        <v>50204</v>
      </c>
      <c r="F143" s="27" t="s">
        <v>170</v>
      </c>
      <c r="G143" s="280">
        <v>1</v>
      </c>
      <c r="H143" s="37" t="s">
        <v>659</v>
      </c>
      <c r="I143" s="280"/>
      <c r="J143" s="35" t="s">
        <v>660</v>
      </c>
      <c r="K143" s="35" t="s">
        <v>661</v>
      </c>
      <c r="L143" s="280"/>
      <c r="M143" s="8"/>
      <c r="N143" s="11" t="s">
        <v>648</v>
      </c>
      <c r="O143" s="11" t="s">
        <v>649</v>
      </c>
    </row>
    <row r="144" spans="2:16" ht="21.75" customHeight="1">
      <c r="B144" s="27" t="s">
        <v>121</v>
      </c>
      <c r="C144" s="27">
        <v>2026</v>
      </c>
      <c r="D144" s="26" t="s">
        <v>643</v>
      </c>
      <c r="E144" s="60">
        <v>50204</v>
      </c>
      <c r="F144" s="27" t="s">
        <v>170</v>
      </c>
      <c r="G144" s="280">
        <v>1</v>
      </c>
      <c r="H144" s="37" t="s">
        <v>662</v>
      </c>
      <c r="I144" s="280"/>
      <c r="J144" s="35" t="s">
        <v>663</v>
      </c>
      <c r="K144" s="35" t="s">
        <v>664</v>
      </c>
      <c r="L144" s="280"/>
      <c r="M144" s="8"/>
      <c r="N144" s="11" t="s">
        <v>648</v>
      </c>
      <c r="O144" s="11" t="s">
        <v>649</v>
      </c>
    </row>
    <row r="145" spans="2:16" ht="138">
      <c r="B145" s="27" t="s">
        <v>121</v>
      </c>
      <c r="C145" s="27">
        <v>2026</v>
      </c>
      <c r="D145" s="26" t="s">
        <v>643</v>
      </c>
      <c r="E145" s="60">
        <v>50204</v>
      </c>
      <c r="F145" s="27" t="s">
        <v>170</v>
      </c>
      <c r="G145" s="280">
        <v>1</v>
      </c>
      <c r="H145" s="37" t="s">
        <v>665</v>
      </c>
      <c r="I145" s="35" t="s">
        <v>666</v>
      </c>
      <c r="J145" s="35" t="s">
        <v>667</v>
      </c>
      <c r="K145" s="35" t="s">
        <v>668</v>
      </c>
      <c r="L145" s="280"/>
      <c r="M145" s="8"/>
      <c r="N145" s="11" t="s">
        <v>648</v>
      </c>
      <c r="O145" s="35" t="s">
        <v>669</v>
      </c>
    </row>
    <row r="146" spans="2:16" ht="96.6">
      <c r="B146" s="27" t="s">
        <v>121</v>
      </c>
      <c r="C146" s="27">
        <v>2026</v>
      </c>
      <c r="D146" s="26" t="s">
        <v>643</v>
      </c>
      <c r="E146" s="60">
        <v>50204</v>
      </c>
      <c r="F146" s="27" t="s">
        <v>170</v>
      </c>
      <c r="G146" s="280">
        <v>1</v>
      </c>
      <c r="H146" s="37" t="s">
        <v>670</v>
      </c>
      <c r="I146" s="35" t="s">
        <v>671</v>
      </c>
      <c r="J146" s="35" t="s">
        <v>672</v>
      </c>
      <c r="K146" s="35" t="s">
        <v>673</v>
      </c>
      <c r="L146" s="280"/>
      <c r="M146" s="8"/>
      <c r="N146" s="11" t="s">
        <v>648</v>
      </c>
      <c r="O146" s="35" t="s">
        <v>674</v>
      </c>
    </row>
    <row r="147" spans="2:16" ht="82.8">
      <c r="B147" s="27" t="s">
        <v>121</v>
      </c>
      <c r="C147" s="27">
        <v>2026</v>
      </c>
      <c r="D147" s="26" t="s">
        <v>643</v>
      </c>
      <c r="E147" s="60">
        <v>50204</v>
      </c>
      <c r="F147" s="27" t="s">
        <v>170</v>
      </c>
      <c r="G147" s="280">
        <v>1</v>
      </c>
      <c r="H147" s="37" t="s">
        <v>675</v>
      </c>
      <c r="I147" s="35" t="s">
        <v>676</v>
      </c>
      <c r="J147" s="35" t="s">
        <v>677</v>
      </c>
      <c r="K147" s="35" t="s">
        <v>678</v>
      </c>
      <c r="L147" s="280"/>
      <c r="M147" s="8"/>
      <c r="N147" s="11" t="s">
        <v>648</v>
      </c>
      <c r="O147" s="35" t="s">
        <v>679</v>
      </c>
    </row>
    <row r="148" spans="2:16" ht="82.8">
      <c r="B148" s="27" t="s">
        <v>121</v>
      </c>
      <c r="C148" s="27">
        <v>2026</v>
      </c>
      <c r="D148" s="26" t="s">
        <v>643</v>
      </c>
      <c r="E148" s="60">
        <v>50204</v>
      </c>
      <c r="F148" s="27" t="s">
        <v>170</v>
      </c>
      <c r="G148" s="280"/>
      <c r="H148" s="37" t="s">
        <v>680</v>
      </c>
      <c r="I148" s="35" t="s">
        <v>681</v>
      </c>
      <c r="J148" s="35" t="s">
        <v>682</v>
      </c>
      <c r="K148" s="35" t="s">
        <v>683</v>
      </c>
      <c r="L148" s="280"/>
      <c r="M148" s="8"/>
      <c r="N148" s="11" t="s">
        <v>648</v>
      </c>
      <c r="O148" s="35" t="s">
        <v>684</v>
      </c>
    </row>
    <row r="149" spans="2:16" ht="41.4">
      <c r="B149" s="27" t="s">
        <v>121</v>
      </c>
      <c r="C149" s="27">
        <v>2026</v>
      </c>
      <c r="D149" s="26" t="s">
        <v>643</v>
      </c>
      <c r="E149" s="60">
        <v>50204</v>
      </c>
      <c r="F149" s="27" t="s">
        <v>170</v>
      </c>
      <c r="G149" s="280">
        <v>1</v>
      </c>
      <c r="H149" s="37" t="s">
        <v>685</v>
      </c>
      <c r="I149" s="35"/>
      <c r="J149" s="35" t="s">
        <v>686</v>
      </c>
      <c r="K149" s="46"/>
      <c r="L149" s="280"/>
      <c r="M149" s="8"/>
      <c r="N149" s="11" t="s">
        <v>648</v>
      </c>
      <c r="O149" s="35" t="s">
        <v>649</v>
      </c>
    </row>
    <row r="150" spans="2:16" ht="27.6">
      <c r="B150" s="27" t="s">
        <v>121</v>
      </c>
      <c r="C150" s="27">
        <v>2026</v>
      </c>
      <c r="D150" s="26" t="s">
        <v>643</v>
      </c>
      <c r="E150" s="60">
        <v>50204</v>
      </c>
      <c r="F150" s="27" t="s">
        <v>170</v>
      </c>
      <c r="G150" s="280">
        <v>2</v>
      </c>
      <c r="H150" s="37" t="s">
        <v>687</v>
      </c>
      <c r="I150" s="35"/>
      <c r="J150" s="35" t="s">
        <v>688</v>
      </c>
      <c r="K150" s="35"/>
      <c r="L150" s="280"/>
      <c r="M150" s="8"/>
      <c r="N150" s="11" t="s">
        <v>648</v>
      </c>
      <c r="O150" s="35" t="s">
        <v>689</v>
      </c>
    </row>
    <row r="151" spans="2:16" ht="110.4">
      <c r="B151" s="27" t="s">
        <v>121</v>
      </c>
      <c r="C151" s="27">
        <v>2026</v>
      </c>
      <c r="D151" s="26" t="s">
        <v>643</v>
      </c>
      <c r="E151" s="60">
        <v>50204</v>
      </c>
      <c r="F151" s="27" t="s">
        <v>170</v>
      </c>
      <c r="G151" s="280">
        <v>1</v>
      </c>
      <c r="H151" s="37" t="s">
        <v>690</v>
      </c>
      <c r="I151" s="35" t="s">
        <v>691</v>
      </c>
      <c r="J151" s="35" t="s">
        <v>692</v>
      </c>
      <c r="K151" s="35" t="s">
        <v>693</v>
      </c>
      <c r="L151" s="280"/>
      <c r="M151" s="8"/>
      <c r="N151" s="11" t="s">
        <v>648</v>
      </c>
      <c r="O151" s="35" t="s">
        <v>694</v>
      </c>
    </row>
    <row r="152" spans="2:16" ht="41.4">
      <c r="B152" s="27" t="s">
        <v>121</v>
      </c>
      <c r="C152" s="27">
        <v>2026</v>
      </c>
      <c r="D152" s="26" t="s">
        <v>643</v>
      </c>
      <c r="E152" s="60">
        <v>50204</v>
      </c>
      <c r="F152" s="27" t="s">
        <v>170</v>
      </c>
      <c r="G152" s="280">
        <v>1</v>
      </c>
      <c r="H152" s="37" t="s">
        <v>695</v>
      </c>
      <c r="I152" s="35" t="s">
        <v>696</v>
      </c>
      <c r="J152" s="35" t="s">
        <v>697</v>
      </c>
      <c r="K152" s="35"/>
      <c r="L152" s="280"/>
      <c r="M152" s="8"/>
      <c r="N152" s="11" t="s">
        <v>648</v>
      </c>
      <c r="O152" s="35" t="s">
        <v>698</v>
      </c>
    </row>
    <row r="153" spans="2:16" ht="55.2">
      <c r="B153" s="280" t="s">
        <v>238</v>
      </c>
      <c r="C153" s="27">
        <v>2026</v>
      </c>
      <c r="D153" s="26" t="s">
        <v>643</v>
      </c>
      <c r="E153" s="60">
        <v>50204</v>
      </c>
      <c r="F153" s="27" t="s">
        <v>170</v>
      </c>
      <c r="G153" s="280">
        <v>1</v>
      </c>
      <c r="H153" s="37" t="s">
        <v>699</v>
      </c>
      <c r="I153" s="35" t="s">
        <v>700</v>
      </c>
      <c r="J153" s="35" t="s">
        <v>701</v>
      </c>
      <c r="K153" s="280"/>
      <c r="L153" s="280"/>
      <c r="M153" s="8"/>
      <c r="N153" s="11" t="s">
        <v>648</v>
      </c>
      <c r="O153" s="27" t="s">
        <v>702</v>
      </c>
    </row>
    <row r="154" spans="2:16" ht="55.2">
      <c r="B154" s="280" t="s">
        <v>368</v>
      </c>
      <c r="C154" s="27">
        <v>2026</v>
      </c>
      <c r="D154" s="26" t="s">
        <v>643</v>
      </c>
      <c r="E154" s="60">
        <v>50204</v>
      </c>
      <c r="F154" s="27" t="s">
        <v>170</v>
      </c>
      <c r="G154" s="280">
        <v>1</v>
      </c>
      <c r="H154" s="37" t="s">
        <v>703</v>
      </c>
      <c r="I154" s="280"/>
      <c r="J154" s="35" t="s">
        <v>704</v>
      </c>
      <c r="K154" s="35" t="s">
        <v>705</v>
      </c>
      <c r="L154" s="280"/>
      <c r="M154" s="8"/>
      <c r="N154" s="11" t="s">
        <v>648</v>
      </c>
      <c r="O154" s="35" t="s">
        <v>689</v>
      </c>
    </row>
    <row r="155" spans="2:16" ht="30.75" customHeight="1">
      <c r="B155" s="281" t="s">
        <v>368</v>
      </c>
      <c r="C155" s="965">
        <v>2026</v>
      </c>
      <c r="D155" s="966" t="s">
        <v>643</v>
      </c>
      <c r="E155" s="967">
        <v>50204</v>
      </c>
      <c r="F155" s="965" t="s">
        <v>170</v>
      </c>
      <c r="G155" s="281">
        <v>1</v>
      </c>
      <c r="H155" s="968" t="s">
        <v>706</v>
      </c>
      <c r="I155" s="281"/>
      <c r="J155" s="969" t="s">
        <v>707</v>
      </c>
      <c r="K155" s="969" t="s">
        <v>708</v>
      </c>
      <c r="L155" s="281"/>
      <c r="M155" s="281"/>
      <c r="N155" s="281"/>
      <c r="O155" s="969" t="s">
        <v>689</v>
      </c>
    </row>
    <row r="156" spans="2:16" ht="27.6">
      <c r="B156" s="280" t="s">
        <v>121</v>
      </c>
      <c r="C156" s="280">
        <v>2026</v>
      </c>
      <c r="D156" s="963" t="s">
        <v>709</v>
      </c>
      <c r="E156" s="964">
        <v>30600</v>
      </c>
      <c r="F156" s="280" t="s">
        <v>710</v>
      </c>
      <c r="G156" s="280">
        <v>1</v>
      </c>
      <c r="H156" s="69" t="s">
        <v>711</v>
      </c>
      <c r="I156" s="69" t="s">
        <v>712</v>
      </c>
      <c r="J156" s="70">
        <v>20000</v>
      </c>
      <c r="K156" s="280">
        <v>1</v>
      </c>
      <c r="L156" s="280">
        <f>J156*K156</f>
        <v>20000</v>
      </c>
      <c r="M156" s="8"/>
      <c r="N156" s="71" t="s">
        <v>713</v>
      </c>
      <c r="O156" s="72" t="s">
        <v>714</v>
      </c>
      <c r="P156" s="72" t="s">
        <v>714</v>
      </c>
    </row>
    <row r="157" spans="2:16" ht="27.6">
      <c r="B157" s="280" t="s">
        <v>121</v>
      </c>
      <c r="C157" s="280">
        <v>2026</v>
      </c>
      <c r="D157" s="963" t="s">
        <v>709</v>
      </c>
      <c r="E157" s="964">
        <v>30600</v>
      </c>
      <c r="F157" s="280" t="s">
        <v>710</v>
      </c>
      <c r="G157" s="280">
        <v>1</v>
      </c>
      <c r="H157" s="69" t="s">
        <v>711</v>
      </c>
      <c r="I157" s="69" t="s">
        <v>712</v>
      </c>
      <c r="J157" s="70">
        <v>10000</v>
      </c>
      <c r="K157" s="280">
        <v>2</v>
      </c>
      <c r="L157" s="280">
        <f t="shared" ref="L157:L168" si="3">J157*K157</f>
        <v>20000</v>
      </c>
      <c r="M157" s="8"/>
      <c r="N157" s="71" t="s">
        <v>713</v>
      </c>
      <c r="O157" s="72" t="s">
        <v>715</v>
      </c>
      <c r="P157" s="72" t="s">
        <v>715</v>
      </c>
    </row>
    <row r="158" spans="2:16" ht="27.6">
      <c r="B158" s="280" t="s">
        <v>269</v>
      </c>
      <c r="C158" s="280">
        <v>2026</v>
      </c>
      <c r="D158" s="963" t="s">
        <v>709</v>
      </c>
      <c r="E158" s="964">
        <v>30600</v>
      </c>
      <c r="F158" s="280" t="s">
        <v>710</v>
      </c>
      <c r="G158" s="280">
        <v>1</v>
      </c>
      <c r="H158" s="69" t="s">
        <v>711</v>
      </c>
      <c r="I158" s="69" t="s">
        <v>712</v>
      </c>
      <c r="J158" s="70">
        <v>20000</v>
      </c>
      <c r="K158" s="280">
        <v>1</v>
      </c>
      <c r="L158" s="280">
        <f t="shared" si="3"/>
        <v>20000</v>
      </c>
      <c r="M158" s="8"/>
      <c r="N158" s="71" t="s">
        <v>713</v>
      </c>
      <c r="O158" s="72" t="s">
        <v>716</v>
      </c>
      <c r="P158" s="72" t="s">
        <v>716</v>
      </c>
    </row>
    <row r="159" spans="2:16" ht="27.6">
      <c r="B159" s="280" t="s">
        <v>269</v>
      </c>
      <c r="C159" s="280">
        <v>2026</v>
      </c>
      <c r="D159" s="963" t="s">
        <v>709</v>
      </c>
      <c r="E159" s="964">
        <v>30600</v>
      </c>
      <c r="F159" s="280" t="s">
        <v>710</v>
      </c>
      <c r="G159" s="280">
        <v>1</v>
      </c>
      <c r="H159" s="69" t="s">
        <v>711</v>
      </c>
      <c r="I159" s="69" t="s">
        <v>712</v>
      </c>
      <c r="J159" s="70">
        <v>20000</v>
      </c>
      <c r="K159" s="280">
        <v>1</v>
      </c>
      <c r="L159" s="280">
        <f t="shared" si="3"/>
        <v>20000</v>
      </c>
      <c r="M159" s="8"/>
      <c r="N159" s="71" t="s">
        <v>713</v>
      </c>
      <c r="O159" s="72" t="s">
        <v>717</v>
      </c>
      <c r="P159" s="72" t="s">
        <v>717</v>
      </c>
    </row>
    <row r="160" spans="2:16" ht="27.6">
      <c r="B160" s="280" t="s">
        <v>269</v>
      </c>
      <c r="C160" s="280">
        <v>2026</v>
      </c>
      <c r="D160" s="963" t="s">
        <v>709</v>
      </c>
      <c r="E160" s="964">
        <v>30600</v>
      </c>
      <c r="F160" s="280" t="s">
        <v>710</v>
      </c>
      <c r="G160" s="280">
        <v>1</v>
      </c>
      <c r="H160" s="69" t="s">
        <v>711</v>
      </c>
      <c r="I160" s="69" t="s">
        <v>712</v>
      </c>
      <c r="J160" s="70">
        <v>30000</v>
      </c>
      <c r="K160" s="280">
        <v>1</v>
      </c>
      <c r="L160" s="280">
        <f t="shared" si="3"/>
        <v>30000</v>
      </c>
      <c r="M160" s="8"/>
      <c r="N160" s="71" t="s">
        <v>713</v>
      </c>
      <c r="O160" s="72" t="s">
        <v>718</v>
      </c>
      <c r="P160" s="72" t="s">
        <v>718</v>
      </c>
    </row>
    <row r="161" spans="2:16" ht="27.6">
      <c r="B161" s="280" t="s">
        <v>269</v>
      </c>
      <c r="C161" s="280">
        <v>2026</v>
      </c>
      <c r="D161" s="963" t="s">
        <v>709</v>
      </c>
      <c r="E161" s="964">
        <v>30600</v>
      </c>
      <c r="F161" s="280" t="s">
        <v>710</v>
      </c>
      <c r="G161" s="280">
        <v>1</v>
      </c>
      <c r="H161" s="69" t="s">
        <v>711</v>
      </c>
      <c r="I161" s="69" t="s">
        <v>712</v>
      </c>
      <c r="J161" s="70">
        <v>20000</v>
      </c>
      <c r="K161" s="280">
        <v>1</v>
      </c>
      <c r="L161" s="280">
        <f t="shared" si="3"/>
        <v>20000</v>
      </c>
      <c r="M161" s="8"/>
      <c r="N161" s="71" t="s">
        <v>713</v>
      </c>
      <c r="O161" s="72" t="s">
        <v>719</v>
      </c>
      <c r="P161" s="72" t="s">
        <v>719</v>
      </c>
    </row>
    <row r="162" spans="2:16" ht="27.6">
      <c r="B162" s="280" t="s">
        <v>269</v>
      </c>
      <c r="C162" s="280">
        <v>2026</v>
      </c>
      <c r="D162" s="963" t="s">
        <v>709</v>
      </c>
      <c r="E162" s="964">
        <v>30600</v>
      </c>
      <c r="F162" s="280" t="s">
        <v>710</v>
      </c>
      <c r="G162" s="280">
        <v>1</v>
      </c>
      <c r="H162" s="69" t="s">
        <v>711</v>
      </c>
      <c r="I162" s="69" t="s">
        <v>720</v>
      </c>
      <c r="J162" s="70">
        <v>20000</v>
      </c>
      <c r="K162" s="280">
        <v>1</v>
      </c>
      <c r="L162" s="280">
        <f t="shared" si="3"/>
        <v>20000</v>
      </c>
      <c r="M162" s="8"/>
      <c r="N162" s="71" t="s">
        <v>713</v>
      </c>
      <c r="O162" s="72" t="s">
        <v>721</v>
      </c>
      <c r="P162" s="72" t="s">
        <v>721</v>
      </c>
    </row>
    <row r="163" spans="2:16" ht="27.6">
      <c r="B163" s="280" t="s">
        <v>121</v>
      </c>
      <c r="C163" s="280">
        <v>2026</v>
      </c>
      <c r="D163" s="963" t="s">
        <v>709</v>
      </c>
      <c r="E163" s="964">
        <v>30600</v>
      </c>
      <c r="F163" s="280" t="s">
        <v>710</v>
      </c>
      <c r="G163" s="280">
        <v>1</v>
      </c>
      <c r="H163" s="69" t="s">
        <v>722</v>
      </c>
      <c r="I163" s="73" t="s">
        <v>723</v>
      </c>
      <c r="J163" s="70">
        <v>30000</v>
      </c>
      <c r="K163" s="280">
        <v>1</v>
      </c>
      <c r="L163" s="280">
        <f t="shared" si="3"/>
        <v>30000</v>
      </c>
      <c r="M163" s="8"/>
      <c r="N163" s="71" t="s">
        <v>713</v>
      </c>
      <c r="O163" s="72" t="s">
        <v>724</v>
      </c>
      <c r="P163" s="72" t="s">
        <v>724</v>
      </c>
    </row>
    <row r="164" spans="2:16" ht="52.8">
      <c r="B164" s="280" t="s">
        <v>121</v>
      </c>
      <c r="C164" s="280">
        <v>2026</v>
      </c>
      <c r="D164" s="963" t="s">
        <v>709</v>
      </c>
      <c r="E164" s="964">
        <v>30600</v>
      </c>
      <c r="F164" s="280" t="s">
        <v>710</v>
      </c>
      <c r="G164" s="280">
        <v>1</v>
      </c>
      <c r="H164" s="69" t="s">
        <v>725</v>
      </c>
      <c r="I164" s="69" t="s">
        <v>726</v>
      </c>
      <c r="J164" s="70">
        <v>65000</v>
      </c>
      <c r="K164" s="280">
        <v>1</v>
      </c>
      <c r="L164" s="280">
        <f t="shared" si="3"/>
        <v>65000</v>
      </c>
      <c r="M164" s="8"/>
      <c r="N164" s="69" t="s">
        <v>713</v>
      </c>
      <c r="O164" s="74" t="s">
        <v>727</v>
      </c>
      <c r="P164" s="74" t="s">
        <v>727</v>
      </c>
    </row>
    <row r="165" spans="2:16" ht="26.4">
      <c r="B165" s="280" t="s">
        <v>269</v>
      </c>
      <c r="C165" s="280">
        <v>2026</v>
      </c>
      <c r="D165" s="963" t="s">
        <v>709</v>
      </c>
      <c r="E165" s="964">
        <v>30600</v>
      </c>
      <c r="F165" s="280" t="s">
        <v>710</v>
      </c>
      <c r="G165" s="280">
        <v>3</v>
      </c>
      <c r="H165" s="69" t="s">
        <v>728</v>
      </c>
      <c r="I165" s="73" t="s">
        <v>729</v>
      </c>
      <c r="J165" s="75">
        <v>8000</v>
      </c>
      <c r="K165" s="280">
        <v>1</v>
      </c>
      <c r="L165" s="280">
        <f t="shared" si="3"/>
        <v>8000</v>
      </c>
      <c r="M165" s="8"/>
      <c r="N165" s="73" t="s">
        <v>713</v>
      </c>
      <c r="O165" s="74" t="s">
        <v>730</v>
      </c>
      <c r="P165" s="74" t="s">
        <v>730</v>
      </c>
    </row>
    <row r="166" spans="2:16" ht="41.4">
      <c r="B166" s="280" t="s">
        <v>121</v>
      </c>
      <c r="C166" s="280">
        <v>2026</v>
      </c>
      <c r="D166" s="963" t="s">
        <v>709</v>
      </c>
      <c r="E166" s="964">
        <v>30600</v>
      </c>
      <c r="F166" s="280" t="s">
        <v>710</v>
      </c>
      <c r="G166" s="280">
        <v>1</v>
      </c>
      <c r="H166" s="69" t="s">
        <v>728</v>
      </c>
      <c r="I166" s="69" t="s">
        <v>731</v>
      </c>
      <c r="J166" s="70">
        <v>15000</v>
      </c>
      <c r="K166" s="280">
        <v>1</v>
      </c>
      <c r="L166" s="280">
        <f t="shared" si="3"/>
        <v>15000</v>
      </c>
      <c r="M166" s="8"/>
      <c r="N166" s="73" t="s">
        <v>713</v>
      </c>
      <c r="O166" s="73" t="s">
        <v>732</v>
      </c>
      <c r="P166" s="73" t="s">
        <v>732</v>
      </c>
    </row>
    <row r="167" spans="2:16" ht="39.6">
      <c r="B167" s="280" t="s">
        <v>733</v>
      </c>
      <c r="C167" s="280">
        <v>2026</v>
      </c>
      <c r="D167" s="963" t="s">
        <v>709</v>
      </c>
      <c r="E167" s="964">
        <v>30600</v>
      </c>
      <c r="F167" s="280" t="s">
        <v>710</v>
      </c>
      <c r="G167" s="280">
        <v>1</v>
      </c>
      <c r="H167" s="73" t="s">
        <v>734</v>
      </c>
      <c r="I167" s="73" t="s">
        <v>735</v>
      </c>
      <c r="J167" s="73">
        <v>3000</v>
      </c>
      <c r="K167" s="280">
        <v>1</v>
      </c>
      <c r="L167" s="280">
        <f t="shared" si="3"/>
        <v>3000</v>
      </c>
      <c r="M167" s="8"/>
      <c r="N167" s="73" t="s">
        <v>713</v>
      </c>
      <c r="O167" s="73" t="s">
        <v>736</v>
      </c>
      <c r="P167" s="73" t="s">
        <v>736</v>
      </c>
    </row>
    <row r="168" spans="2:16" ht="39.6">
      <c r="B168" s="280" t="s">
        <v>733</v>
      </c>
      <c r="C168" s="280">
        <v>2026</v>
      </c>
      <c r="D168" s="963" t="s">
        <v>709</v>
      </c>
      <c r="E168" s="964">
        <v>30600</v>
      </c>
      <c r="F168" s="280" t="s">
        <v>710</v>
      </c>
      <c r="G168" s="280">
        <v>1</v>
      </c>
      <c r="H168" s="73" t="s">
        <v>737</v>
      </c>
      <c r="I168" s="73" t="s">
        <v>738</v>
      </c>
      <c r="J168" s="76">
        <v>7000</v>
      </c>
      <c r="K168" s="280">
        <v>1</v>
      </c>
      <c r="L168" s="280">
        <f t="shared" si="3"/>
        <v>7000</v>
      </c>
      <c r="M168" s="8"/>
      <c r="N168" s="73" t="s">
        <v>739</v>
      </c>
      <c r="O168" s="73" t="s">
        <v>740</v>
      </c>
      <c r="P168" s="73" t="s">
        <v>740</v>
      </c>
    </row>
    <row r="169" spans="2:16" ht="24.75" customHeight="1">
      <c r="B169" s="280" t="s">
        <v>238</v>
      </c>
      <c r="C169" s="53">
        <v>2027</v>
      </c>
      <c r="D169" s="963" t="s">
        <v>709</v>
      </c>
      <c r="E169" s="964">
        <v>30600</v>
      </c>
      <c r="F169" s="280" t="s">
        <v>710</v>
      </c>
      <c r="G169" s="280">
        <v>1</v>
      </c>
      <c r="H169" s="73" t="s">
        <v>741</v>
      </c>
      <c r="I169" s="69" t="s">
        <v>742</v>
      </c>
      <c r="J169" s="280">
        <v>50000</v>
      </c>
      <c r="K169" s="280">
        <v>1</v>
      </c>
      <c r="L169" s="53">
        <v>50000</v>
      </c>
      <c r="M169" s="8"/>
      <c r="N169" s="280" t="s">
        <v>743</v>
      </c>
      <c r="O169" s="69" t="s">
        <v>742</v>
      </c>
      <c r="P169" s="69" t="s">
        <v>744</v>
      </c>
    </row>
    <row r="170" spans="2:16" ht="15.75" customHeight="1">
      <c r="B170" s="280" t="s">
        <v>238</v>
      </c>
      <c r="C170" s="53">
        <v>2027</v>
      </c>
      <c r="D170" s="963" t="s">
        <v>709</v>
      </c>
      <c r="E170" s="964">
        <v>30600</v>
      </c>
      <c r="F170" s="280" t="s">
        <v>710</v>
      </c>
      <c r="G170" s="280">
        <v>1</v>
      </c>
      <c r="H170" s="73" t="s">
        <v>745</v>
      </c>
      <c r="I170" s="69" t="s">
        <v>746</v>
      </c>
      <c r="J170" s="280"/>
      <c r="K170" s="280">
        <v>3</v>
      </c>
      <c r="L170" s="53">
        <v>115000</v>
      </c>
      <c r="M170" s="8"/>
      <c r="N170" s="280" t="s">
        <v>747</v>
      </c>
      <c r="O170" s="69" t="s">
        <v>746</v>
      </c>
      <c r="P170" s="73" t="s">
        <v>748</v>
      </c>
    </row>
    <row r="171" spans="2:16" ht="25.5" customHeight="1">
      <c r="B171" s="280" t="s">
        <v>238</v>
      </c>
      <c r="C171" s="280">
        <v>2026</v>
      </c>
      <c r="D171" s="963" t="s">
        <v>749</v>
      </c>
      <c r="E171" s="964">
        <v>30100</v>
      </c>
      <c r="F171" s="280" t="s">
        <v>750</v>
      </c>
      <c r="G171" s="280">
        <v>2</v>
      </c>
      <c r="H171" s="280" t="s">
        <v>751</v>
      </c>
      <c r="I171" s="77" t="s">
        <v>752</v>
      </c>
      <c r="J171" s="280">
        <v>30000</v>
      </c>
      <c r="K171" s="280">
        <v>1</v>
      </c>
      <c r="L171" s="280">
        <f t="shared" ref="L171:L176" si="4">J171*K171</f>
        <v>30000</v>
      </c>
      <c r="M171" s="8"/>
      <c r="N171" s="280"/>
      <c r="O171" s="280"/>
      <c r="P171" s="280"/>
    </row>
    <row r="172" spans="2:16">
      <c r="B172" s="280" t="s">
        <v>238</v>
      </c>
      <c r="C172" s="280">
        <v>2026</v>
      </c>
      <c r="D172" s="963" t="s">
        <v>749</v>
      </c>
      <c r="E172" s="964">
        <v>30100</v>
      </c>
      <c r="F172" s="280" t="s">
        <v>750</v>
      </c>
      <c r="G172" s="280">
        <v>1</v>
      </c>
      <c r="H172" s="280" t="s">
        <v>753</v>
      </c>
      <c r="I172" s="280"/>
      <c r="J172" s="280">
        <v>12000</v>
      </c>
      <c r="K172" s="280">
        <v>1</v>
      </c>
      <c r="L172" s="280">
        <f t="shared" si="4"/>
        <v>12000</v>
      </c>
      <c r="M172" s="8"/>
      <c r="N172" s="280"/>
      <c r="O172" s="280"/>
      <c r="P172" s="280"/>
    </row>
    <row r="173" spans="2:16">
      <c r="B173" s="280" t="s">
        <v>232</v>
      </c>
      <c r="C173" s="280">
        <v>2026</v>
      </c>
      <c r="D173" s="963" t="s">
        <v>749</v>
      </c>
      <c r="E173" s="964">
        <v>30100</v>
      </c>
      <c r="F173" s="280" t="s">
        <v>750</v>
      </c>
      <c r="G173" s="280">
        <v>1</v>
      </c>
      <c r="H173" s="280"/>
      <c r="I173" s="280"/>
      <c r="J173" s="280">
        <v>2000</v>
      </c>
      <c r="K173" s="280">
        <v>3</v>
      </c>
      <c r="L173" s="280">
        <f t="shared" si="4"/>
        <v>6000</v>
      </c>
      <c r="M173" s="8"/>
      <c r="N173" s="280"/>
      <c r="O173" s="280"/>
      <c r="P173" s="280"/>
    </row>
    <row r="174" spans="2:16">
      <c r="B174" s="280" t="s">
        <v>269</v>
      </c>
      <c r="C174" s="280">
        <v>2026</v>
      </c>
      <c r="D174" s="963" t="s">
        <v>749</v>
      </c>
      <c r="E174" s="964">
        <v>30100</v>
      </c>
      <c r="F174" s="280" t="s">
        <v>750</v>
      </c>
      <c r="G174" s="280">
        <v>1</v>
      </c>
      <c r="H174" s="280" t="s">
        <v>297</v>
      </c>
      <c r="I174" s="280"/>
      <c r="J174" s="280">
        <v>10000</v>
      </c>
      <c r="K174" s="280">
        <v>1</v>
      </c>
      <c r="L174" s="280">
        <f t="shared" si="4"/>
        <v>10000</v>
      </c>
      <c r="M174" s="8"/>
      <c r="N174" s="280"/>
      <c r="O174" s="5" t="s">
        <v>754</v>
      </c>
      <c r="P174" s="280"/>
    </row>
    <row r="175" spans="2:16" ht="41.4">
      <c r="B175" s="280" t="s">
        <v>269</v>
      </c>
      <c r="C175" s="280">
        <v>2026</v>
      </c>
      <c r="D175" s="963" t="s">
        <v>749</v>
      </c>
      <c r="E175" s="964">
        <v>30100</v>
      </c>
      <c r="F175" s="280" t="s">
        <v>750</v>
      </c>
      <c r="G175" s="280">
        <v>1</v>
      </c>
      <c r="H175" s="5" t="s">
        <v>755</v>
      </c>
      <c r="I175" s="5" t="s">
        <v>755</v>
      </c>
      <c r="J175" s="280">
        <v>10000</v>
      </c>
      <c r="K175" s="280">
        <v>6</v>
      </c>
      <c r="L175" s="280">
        <f t="shared" si="4"/>
        <v>60000</v>
      </c>
      <c r="M175" s="8"/>
      <c r="N175" s="280"/>
      <c r="O175" s="280" t="s">
        <v>756</v>
      </c>
      <c r="P175" s="280"/>
    </row>
    <row r="176" spans="2:16">
      <c r="B176" s="280" t="s">
        <v>757</v>
      </c>
      <c r="C176" s="280">
        <v>2026</v>
      </c>
      <c r="D176" s="963" t="s">
        <v>749</v>
      </c>
      <c r="E176" s="964">
        <v>30100</v>
      </c>
      <c r="F176" s="280" t="s">
        <v>750</v>
      </c>
      <c r="G176" s="280">
        <v>1</v>
      </c>
      <c r="H176" s="280" t="s">
        <v>758</v>
      </c>
      <c r="I176" s="280"/>
      <c r="J176" s="53">
        <v>70000</v>
      </c>
      <c r="K176" s="280">
        <v>1</v>
      </c>
      <c r="L176" s="280">
        <f t="shared" si="4"/>
        <v>70000</v>
      </c>
      <c r="M176" s="8"/>
      <c r="N176" s="280"/>
      <c r="O176" s="280">
        <v>19999</v>
      </c>
      <c r="P176" s="280"/>
    </row>
    <row r="177" spans="2:16" ht="23.25" customHeight="1">
      <c r="B177" s="280" t="s">
        <v>232</v>
      </c>
      <c r="C177" s="280">
        <v>2026</v>
      </c>
      <c r="D177" s="963" t="s">
        <v>759</v>
      </c>
      <c r="E177" s="964">
        <v>30200</v>
      </c>
      <c r="F177" s="280" t="s">
        <v>760</v>
      </c>
      <c r="G177" s="280">
        <v>1</v>
      </c>
      <c r="H177" s="5" t="s">
        <v>372</v>
      </c>
      <c r="I177" s="5" t="s">
        <v>761</v>
      </c>
      <c r="J177" s="5">
        <v>12000</v>
      </c>
      <c r="K177" s="5">
        <v>4</v>
      </c>
      <c r="L177" s="53">
        <v>12000</v>
      </c>
      <c r="M177" s="53"/>
      <c r="N177" s="280" t="s">
        <v>762</v>
      </c>
      <c r="O177" s="5" t="s">
        <v>763</v>
      </c>
      <c r="P177" s="280"/>
    </row>
    <row r="178" spans="2:16" ht="19.5" customHeight="1">
      <c r="B178" s="280" t="s">
        <v>221</v>
      </c>
      <c r="C178" s="280">
        <v>2026</v>
      </c>
      <c r="D178" s="963" t="s">
        <v>759</v>
      </c>
      <c r="E178" s="964">
        <v>30200</v>
      </c>
      <c r="F178" s="280" t="s">
        <v>760</v>
      </c>
      <c r="G178" s="280">
        <v>1</v>
      </c>
      <c r="H178" s="5" t="s">
        <v>764</v>
      </c>
      <c r="I178" s="5" t="s">
        <v>765</v>
      </c>
      <c r="J178" s="5">
        <v>27000</v>
      </c>
      <c r="K178" s="5">
        <v>1</v>
      </c>
      <c r="L178" s="53">
        <f>J178*K178</f>
        <v>27000</v>
      </c>
      <c r="M178" s="8"/>
      <c r="N178" s="280" t="s">
        <v>762</v>
      </c>
      <c r="O178" s="5" t="s">
        <v>766</v>
      </c>
      <c r="P178" s="280"/>
    </row>
    <row r="179" spans="2:16" ht="31.5" customHeight="1">
      <c r="B179" s="280" t="s">
        <v>221</v>
      </c>
      <c r="C179" s="280">
        <v>2026</v>
      </c>
      <c r="D179" s="963" t="s">
        <v>759</v>
      </c>
      <c r="E179" s="964">
        <v>30200</v>
      </c>
      <c r="F179" s="280" t="s">
        <v>760</v>
      </c>
      <c r="G179" s="280">
        <v>1</v>
      </c>
      <c r="H179" s="5" t="s">
        <v>767</v>
      </c>
      <c r="I179" s="5" t="s">
        <v>768</v>
      </c>
      <c r="J179" s="5">
        <v>20000</v>
      </c>
      <c r="K179" s="5">
        <v>1</v>
      </c>
      <c r="L179" s="53">
        <f>J179*K179</f>
        <v>20000</v>
      </c>
      <c r="M179" s="8"/>
      <c r="N179" s="280" t="s">
        <v>762</v>
      </c>
      <c r="O179" s="5" t="s">
        <v>769</v>
      </c>
      <c r="P179" s="280"/>
    </row>
    <row r="180" spans="2:16" ht="110.4">
      <c r="B180" s="280" t="s">
        <v>238</v>
      </c>
      <c r="C180" s="280">
        <v>2026</v>
      </c>
      <c r="D180" s="963" t="s">
        <v>759</v>
      </c>
      <c r="E180" s="964">
        <v>30200</v>
      </c>
      <c r="F180" s="280" t="s">
        <v>760</v>
      </c>
      <c r="G180" s="280">
        <v>1</v>
      </c>
      <c r="H180" s="5" t="s">
        <v>770</v>
      </c>
      <c r="I180" s="5" t="s">
        <v>771</v>
      </c>
      <c r="J180" s="5">
        <v>10000</v>
      </c>
      <c r="K180" s="5">
        <v>1</v>
      </c>
      <c r="L180" s="53">
        <f t="shared" ref="L180:L202" si="5">J180*K180</f>
        <v>10000</v>
      </c>
      <c r="M180" s="8"/>
      <c r="N180" s="280" t="s">
        <v>762</v>
      </c>
      <c r="O180" s="5" t="s">
        <v>772</v>
      </c>
      <c r="P180" s="280"/>
    </row>
    <row r="181" spans="2:16" ht="82.8">
      <c r="B181" s="280" t="s">
        <v>221</v>
      </c>
      <c r="C181" s="280">
        <v>2026</v>
      </c>
      <c r="D181" s="963" t="s">
        <v>759</v>
      </c>
      <c r="E181" s="964">
        <v>30200</v>
      </c>
      <c r="F181" s="280" t="s">
        <v>760</v>
      </c>
      <c r="G181" s="280">
        <v>1</v>
      </c>
      <c r="H181" s="5" t="s">
        <v>773</v>
      </c>
      <c r="I181" s="5" t="s">
        <v>774</v>
      </c>
      <c r="J181" s="5">
        <v>10000</v>
      </c>
      <c r="K181" s="5">
        <v>1</v>
      </c>
      <c r="L181" s="53">
        <f t="shared" si="5"/>
        <v>10000</v>
      </c>
      <c r="M181" s="8"/>
      <c r="N181" s="280" t="s">
        <v>762</v>
      </c>
      <c r="O181" s="5" t="s">
        <v>775</v>
      </c>
      <c r="P181" s="280"/>
    </row>
    <row r="182" spans="2:16" ht="41.4">
      <c r="B182" s="280" t="s">
        <v>269</v>
      </c>
      <c r="C182" s="280">
        <v>2026</v>
      </c>
      <c r="D182" s="280" t="s">
        <v>776</v>
      </c>
      <c r="E182" s="964">
        <v>20317</v>
      </c>
      <c r="F182" s="280" t="s">
        <v>777</v>
      </c>
      <c r="G182" s="280">
        <v>2</v>
      </c>
      <c r="H182" s="10" t="s">
        <v>778</v>
      </c>
      <c r="I182" s="269" t="s">
        <v>779</v>
      </c>
      <c r="J182" s="269">
        <v>120000</v>
      </c>
      <c r="K182" s="280">
        <v>1</v>
      </c>
      <c r="L182" s="280">
        <f t="shared" si="5"/>
        <v>120000</v>
      </c>
      <c r="M182" s="8"/>
      <c r="N182" s="10" t="s">
        <v>780</v>
      </c>
      <c r="O182" s="10" t="s">
        <v>781</v>
      </c>
      <c r="P182" s="280"/>
    </row>
    <row r="183" spans="2:16" ht="27.6">
      <c r="B183" s="280" t="s">
        <v>269</v>
      </c>
      <c r="C183" s="280">
        <v>2026</v>
      </c>
      <c r="D183" s="280" t="s">
        <v>776</v>
      </c>
      <c r="E183" s="964">
        <v>20317</v>
      </c>
      <c r="F183" s="280" t="s">
        <v>777</v>
      </c>
      <c r="G183" s="280">
        <v>1</v>
      </c>
      <c r="H183" s="78" t="s">
        <v>782</v>
      </c>
      <c r="I183" s="78" t="s">
        <v>783</v>
      </c>
      <c r="J183" s="78">
        <v>15000</v>
      </c>
      <c r="K183" s="280">
        <v>1</v>
      </c>
      <c r="L183" s="280">
        <f t="shared" si="5"/>
        <v>15000</v>
      </c>
      <c r="M183" s="111"/>
      <c r="N183" s="78" t="s">
        <v>780</v>
      </c>
      <c r="O183" s="78" t="s">
        <v>784</v>
      </c>
      <c r="P183" s="280"/>
    </row>
    <row r="184" spans="2:16" ht="41.4">
      <c r="B184" s="280" t="s">
        <v>269</v>
      </c>
      <c r="C184" s="280">
        <v>2026</v>
      </c>
      <c r="D184" s="280" t="s">
        <v>776</v>
      </c>
      <c r="E184" s="964">
        <v>20317</v>
      </c>
      <c r="F184" s="280" t="s">
        <v>777</v>
      </c>
      <c r="G184" s="280">
        <v>1</v>
      </c>
      <c r="H184" s="10" t="s">
        <v>785</v>
      </c>
      <c r="I184" s="269" t="s">
        <v>786</v>
      </c>
      <c r="J184" s="269">
        <v>160000</v>
      </c>
      <c r="K184" s="280">
        <v>1</v>
      </c>
      <c r="L184" s="280">
        <f t="shared" si="5"/>
        <v>160000</v>
      </c>
      <c r="M184" s="8"/>
      <c r="N184" s="10" t="s">
        <v>780</v>
      </c>
      <c r="O184" s="970" t="s">
        <v>787</v>
      </c>
      <c r="P184" s="280"/>
    </row>
    <row r="185" spans="2:16" ht="55.2">
      <c r="B185" s="280" t="s">
        <v>269</v>
      </c>
      <c r="C185" s="280">
        <v>2026</v>
      </c>
      <c r="D185" s="280" t="s">
        <v>776</v>
      </c>
      <c r="E185" s="964">
        <v>20317</v>
      </c>
      <c r="F185" s="280" t="s">
        <v>777</v>
      </c>
      <c r="G185" s="280">
        <v>1</v>
      </c>
      <c r="H185" s="10" t="s">
        <v>785</v>
      </c>
      <c r="I185" s="269" t="s">
        <v>788</v>
      </c>
      <c r="J185" s="157">
        <v>95000</v>
      </c>
      <c r="K185" s="280">
        <v>1</v>
      </c>
      <c r="L185" s="280">
        <f t="shared" si="5"/>
        <v>95000</v>
      </c>
      <c r="M185" s="971"/>
      <c r="N185" s="14" t="s">
        <v>780</v>
      </c>
      <c r="O185" s="80" t="s">
        <v>789</v>
      </c>
      <c r="P185" s="280"/>
    </row>
    <row r="186" spans="2:16" ht="27.6">
      <c r="B186" s="280" t="s">
        <v>238</v>
      </c>
      <c r="C186" s="280">
        <v>2026</v>
      </c>
      <c r="D186" s="280" t="s">
        <v>776</v>
      </c>
      <c r="E186" s="964">
        <v>20317</v>
      </c>
      <c r="F186" s="280" t="s">
        <v>777</v>
      </c>
      <c r="G186" s="280">
        <v>1</v>
      </c>
      <c r="H186" s="78" t="s">
        <v>790</v>
      </c>
      <c r="I186" s="78" t="s">
        <v>791</v>
      </c>
      <c r="J186" s="78">
        <v>18340</v>
      </c>
      <c r="K186" s="280">
        <v>1</v>
      </c>
      <c r="L186" s="280">
        <f t="shared" si="5"/>
        <v>18340</v>
      </c>
      <c r="M186" s="111"/>
      <c r="N186" s="78" t="s">
        <v>792</v>
      </c>
      <c r="O186" s="81" t="s">
        <v>793</v>
      </c>
      <c r="P186" s="280"/>
    </row>
    <row r="187" spans="2:16" ht="55.2">
      <c r="B187" s="280" t="s">
        <v>269</v>
      </c>
      <c r="C187" s="280">
        <v>2026</v>
      </c>
      <c r="D187" s="280" t="s">
        <v>776</v>
      </c>
      <c r="E187" s="964">
        <v>20317</v>
      </c>
      <c r="F187" s="280" t="s">
        <v>777</v>
      </c>
      <c r="G187" s="280">
        <v>1</v>
      </c>
      <c r="H187" s="10" t="s">
        <v>794</v>
      </c>
      <c r="I187" s="10" t="s">
        <v>795</v>
      </c>
      <c r="J187" s="10">
        <v>12000</v>
      </c>
      <c r="K187" s="280">
        <v>1</v>
      </c>
      <c r="L187" s="280">
        <f t="shared" si="5"/>
        <v>12000</v>
      </c>
      <c r="M187" s="8"/>
      <c r="N187" s="10" t="s">
        <v>792</v>
      </c>
      <c r="O187" s="10" t="s">
        <v>796</v>
      </c>
      <c r="P187" s="280"/>
    </row>
    <row r="188" spans="2:16" ht="82.8">
      <c r="B188" s="280" t="s">
        <v>269</v>
      </c>
      <c r="C188" s="280">
        <v>2026</v>
      </c>
      <c r="D188" s="280" t="s">
        <v>776</v>
      </c>
      <c r="E188" s="964">
        <v>20317</v>
      </c>
      <c r="F188" s="280" t="s">
        <v>777</v>
      </c>
      <c r="G188" s="280">
        <v>1</v>
      </c>
      <c r="H188" s="82" t="s">
        <v>797</v>
      </c>
      <c r="I188" s="78" t="s">
        <v>798</v>
      </c>
      <c r="J188" s="82">
        <v>4500</v>
      </c>
      <c r="K188" s="280">
        <v>1</v>
      </c>
      <c r="L188" s="280">
        <f t="shared" si="5"/>
        <v>4500</v>
      </c>
      <c r="M188" s="111"/>
      <c r="N188" s="82" t="s">
        <v>780</v>
      </c>
      <c r="O188" s="78" t="s">
        <v>799</v>
      </c>
      <c r="P188" s="280"/>
    </row>
    <row r="189" spans="2:16" ht="27.6">
      <c r="B189" s="280" t="s">
        <v>269</v>
      </c>
      <c r="C189" s="280">
        <v>2026</v>
      </c>
      <c r="D189" s="280" t="s">
        <v>776</v>
      </c>
      <c r="E189" s="964">
        <v>20317</v>
      </c>
      <c r="F189" s="280" t="s">
        <v>777</v>
      </c>
      <c r="G189" s="280">
        <v>1</v>
      </c>
      <c r="H189" s="10" t="s">
        <v>782</v>
      </c>
      <c r="I189" s="269" t="s">
        <v>800</v>
      </c>
      <c r="J189" s="269">
        <v>5800</v>
      </c>
      <c r="K189" s="280">
        <v>1</v>
      </c>
      <c r="L189" s="280">
        <f t="shared" si="5"/>
        <v>5800</v>
      </c>
      <c r="M189" s="8"/>
      <c r="N189" s="10" t="s">
        <v>780</v>
      </c>
      <c r="O189" s="972" t="s">
        <v>801</v>
      </c>
      <c r="P189" s="280"/>
    </row>
    <row r="190" spans="2:16" ht="69">
      <c r="B190" s="280" t="s">
        <v>269</v>
      </c>
      <c r="C190" s="280">
        <v>2026</v>
      </c>
      <c r="D190" s="280" t="s">
        <v>776</v>
      </c>
      <c r="E190" s="964">
        <v>20317</v>
      </c>
      <c r="F190" s="280" t="s">
        <v>777</v>
      </c>
      <c r="G190" s="280">
        <v>1</v>
      </c>
      <c r="H190" s="10" t="s">
        <v>782</v>
      </c>
      <c r="I190" s="10" t="s">
        <v>802</v>
      </c>
      <c r="J190" s="10">
        <v>16000</v>
      </c>
      <c r="K190" s="280">
        <v>1</v>
      </c>
      <c r="L190" s="280">
        <f t="shared" si="5"/>
        <v>16000</v>
      </c>
      <c r="M190" s="971"/>
      <c r="N190" s="14" t="s">
        <v>780</v>
      </c>
      <c r="O190" s="83" t="s">
        <v>803</v>
      </c>
      <c r="P190" s="280"/>
    </row>
    <row r="191" spans="2:16" ht="69">
      <c r="B191" s="280" t="s">
        <v>269</v>
      </c>
      <c r="C191" s="280">
        <v>2026</v>
      </c>
      <c r="D191" s="280" t="s">
        <v>776</v>
      </c>
      <c r="E191" s="964">
        <v>20317</v>
      </c>
      <c r="F191" s="280" t="s">
        <v>777</v>
      </c>
      <c r="G191" s="280">
        <v>1</v>
      </c>
      <c r="H191" s="10" t="s">
        <v>804</v>
      </c>
      <c r="I191" s="269" t="s">
        <v>805</v>
      </c>
      <c r="J191" s="269">
        <v>71500</v>
      </c>
      <c r="K191" s="280">
        <v>1</v>
      </c>
      <c r="L191" s="280">
        <f t="shared" si="5"/>
        <v>71500</v>
      </c>
      <c r="M191" s="971"/>
      <c r="N191" s="14" t="s">
        <v>780</v>
      </c>
      <c r="O191" s="83" t="s">
        <v>806</v>
      </c>
      <c r="P191" s="280"/>
    </row>
    <row r="192" spans="2:16" ht="27.6">
      <c r="B192" s="280" t="s">
        <v>269</v>
      </c>
      <c r="C192" s="280">
        <v>2026</v>
      </c>
      <c r="D192" s="280" t="s">
        <v>776</v>
      </c>
      <c r="E192" s="964">
        <v>20317</v>
      </c>
      <c r="F192" s="280" t="s">
        <v>777</v>
      </c>
      <c r="G192" s="280">
        <v>1</v>
      </c>
      <c r="H192" s="972" t="s">
        <v>807</v>
      </c>
      <c r="I192" s="972" t="s">
        <v>808</v>
      </c>
      <c r="J192" s="972">
        <v>35234</v>
      </c>
      <c r="K192" s="280">
        <v>1</v>
      </c>
      <c r="L192" s="280">
        <f t="shared" si="5"/>
        <v>35234</v>
      </c>
      <c r="M192" s="281"/>
      <c r="N192" s="972" t="s">
        <v>780</v>
      </c>
      <c r="O192" s="84" t="s">
        <v>809</v>
      </c>
      <c r="P192" s="280"/>
    </row>
    <row r="193" spans="2:17" ht="69">
      <c r="B193" s="280" t="s">
        <v>269</v>
      </c>
      <c r="C193" s="280">
        <v>2026</v>
      </c>
      <c r="D193" s="280" t="s">
        <v>776</v>
      </c>
      <c r="E193" s="964">
        <v>20317</v>
      </c>
      <c r="F193" s="280" t="s">
        <v>777</v>
      </c>
      <c r="G193" s="280">
        <v>2</v>
      </c>
      <c r="H193" s="10" t="s">
        <v>810</v>
      </c>
      <c r="I193" s="269" t="s">
        <v>811</v>
      </c>
      <c r="J193" s="269">
        <v>25000</v>
      </c>
      <c r="K193" s="280">
        <v>1</v>
      </c>
      <c r="L193" s="280">
        <f t="shared" si="5"/>
        <v>25000</v>
      </c>
      <c r="M193" s="8"/>
      <c r="N193" s="10" t="s">
        <v>780</v>
      </c>
      <c r="O193" s="10" t="s">
        <v>812</v>
      </c>
      <c r="P193" s="280"/>
    </row>
    <row r="194" spans="2:17" ht="41.4">
      <c r="B194" s="280" t="s">
        <v>269</v>
      </c>
      <c r="C194" s="280">
        <v>2026</v>
      </c>
      <c r="D194" s="280" t="s">
        <v>776</v>
      </c>
      <c r="E194" s="964">
        <v>20317</v>
      </c>
      <c r="F194" s="280" t="s">
        <v>777</v>
      </c>
      <c r="G194" s="280">
        <v>1</v>
      </c>
      <c r="H194" s="85" t="s">
        <v>813</v>
      </c>
      <c r="I194" s="85" t="s">
        <v>814</v>
      </c>
      <c r="J194" s="85">
        <v>6000</v>
      </c>
      <c r="K194" s="280">
        <v>1</v>
      </c>
      <c r="L194" s="280">
        <f t="shared" si="5"/>
        <v>6000</v>
      </c>
      <c r="N194" s="85" t="s">
        <v>780</v>
      </c>
      <c r="O194" s="85" t="s">
        <v>815</v>
      </c>
      <c r="P194" s="280"/>
    </row>
    <row r="195" spans="2:17" ht="27.6">
      <c r="B195" s="280" t="s">
        <v>269</v>
      </c>
      <c r="C195" s="280">
        <v>2026</v>
      </c>
      <c r="D195" s="280" t="s">
        <v>776</v>
      </c>
      <c r="E195" s="964">
        <v>20317</v>
      </c>
      <c r="F195" s="280" t="s">
        <v>777</v>
      </c>
      <c r="G195" s="280">
        <v>1</v>
      </c>
      <c r="H195" s="81" t="s">
        <v>816</v>
      </c>
      <c r="I195" s="86" t="s">
        <v>817</v>
      </c>
      <c r="J195" s="86">
        <v>36000</v>
      </c>
      <c r="K195" s="280">
        <v>1</v>
      </c>
      <c r="L195" s="280">
        <f t="shared" si="5"/>
        <v>36000</v>
      </c>
      <c r="M195" s="282"/>
      <c r="N195" s="81" t="s">
        <v>780</v>
      </c>
      <c r="O195" s="81" t="s">
        <v>818</v>
      </c>
      <c r="P195" s="280"/>
    </row>
    <row r="196" spans="2:17" ht="41.4">
      <c r="B196" s="280" t="s">
        <v>269</v>
      </c>
      <c r="C196" s="280">
        <v>2026</v>
      </c>
      <c r="D196" s="963" t="s">
        <v>819</v>
      </c>
      <c r="E196" s="964">
        <v>20317</v>
      </c>
      <c r="F196" s="280" t="s">
        <v>777</v>
      </c>
      <c r="G196" s="280">
        <v>1</v>
      </c>
      <c r="H196" s="87" t="s">
        <v>820</v>
      </c>
      <c r="I196" s="88" t="s">
        <v>821</v>
      </c>
      <c r="J196" s="88">
        <v>10000</v>
      </c>
      <c r="K196" s="280">
        <v>1</v>
      </c>
      <c r="L196" s="280">
        <f t="shared" si="5"/>
        <v>10000</v>
      </c>
      <c r="M196" s="282"/>
      <c r="N196" s="81" t="s">
        <v>822</v>
      </c>
      <c r="O196" s="81" t="s">
        <v>823</v>
      </c>
      <c r="P196" s="280"/>
    </row>
    <row r="197" spans="2:17" ht="41.4">
      <c r="B197" s="280" t="s">
        <v>269</v>
      </c>
      <c r="C197" s="280">
        <v>2026</v>
      </c>
      <c r="D197" s="963" t="s">
        <v>819</v>
      </c>
      <c r="E197" s="964">
        <v>20317</v>
      </c>
      <c r="F197" s="280" t="s">
        <v>777</v>
      </c>
      <c r="G197" s="280">
        <v>1</v>
      </c>
      <c r="H197" s="87" t="s">
        <v>824</v>
      </c>
      <c r="I197" s="270" t="s">
        <v>825</v>
      </c>
      <c r="J197" s="270">
        <v>9000</v>
      </c>
      <c r="K197" s="280">
        <v>1</v>
      </c>
      <c r="L197" s="280">
        <f t="shared" si="5"/>
        <v>9000</v>
      </c>
      <c r="M197" s="282"/>
      <c r="N197" s="81" t="s">
        <v>822</v>
      </c>
      <c r="O197" s="81" t="s">
        <v>826</v>
      </c>
      <c r="P197" s="280"/>
    </row>
    <row r="198" spans="2:17" ht="69">
      <c r="B198" s="280" t="s">
        <v>238</v>
      </c>
      <c r="C198" s="280">
        <v>2026</v>
      </c>
      <c r="D198" s="963" t="s">
        <v>819</v>
      </c>
      <c r="E198" s="964">
        <v>20317</v>
      </c>
      <c r="F198" s="280" t="s">
        <v>777</v>
      </c>
      <c r="G198" s="280">
        <v>2</v>
      </c>
      <c r="H198" s="10" t="s">
        <v>827</v>
      </c>
      <c r="I198" s="271" t="s">
        <v>828</v>
      </c>
      <c r="J198" s="271">
        <v>7000</v>
      </c>
      <c r="K198" s="280">
        <v>1</v>
      </c>
      <c r="L198" s="280">
        <f t="shared" si="5"/>
        <v>7000</v>
      </c>
      <c r="M198" s="8"/>
      <c r="N198" s="10" t="s">
        <v>822</v>
      </c>
      <c r="O198" s="10" t="s">
        <v>829</v>
      </c>
      <c r="P198" s="280"/>
    </row>
    <row r="199" spans="2:17" ht="55.2">
      <c r="B199" s="280" t="s">
        <v>238</v>
      </c>
      <c r="C199" s="280">
        <v>2026</v>
      </c>
      <c r="D199" s="963" t="s">
        <v>819</v>
      </c>
      <c r="E199" s="964">
        <v>20317</v>
      </c>
      <c r="F199" s="280" t="s">
        <v>777</v>
      </c>
      <c r="G199" s="280">
        <v>2</v>
      </c>
      <c r="H199" s="10" t="s">
        <v>830</v>
      </c>
      <c r="I199" s="269" t="s">
        <v>831</v>
      </c>
      <c r="J199" s="269">
        <v>22000</v>
      </c>
      <c r="K199" s="280">
        <v>1</v>
      </c>
      <c r="L199" s="280">
        <f t="shared" si="5"/>
        <v>22000</v>
      </c>
      <c r="M199" s="8"/>
      <c r="N199" s="10" t="s">
        <v>822</v>
      </c>
      <c r="O199" s="10" t="s">
        <v>832</v>
      </c>
      <c r="P199" s="280"/>
    </row>
    <row r="200" spans="2:17" ht="41.4">
      <c r="B200" s="280" t="s">
        <v>238</v>
      </c>
      <c r="C200" s="280">
        <v>2026</v>
      </c>
      <c r="D200" s="963" t="s">
        <v>833</v>
      </c>
      <c r="E200" s="964">
        <v>20317</v>
      </c>
      <c r="F200" s="280" t="s">
        <v>777</v>
      </c>
      <c r="G200" s="280">
        <v>3</v>
      </c>
      <c r="H200" s="78" t="s">
        <v>834</v>
      </c>
      <c r="I200" s="272" t="s">
        <v>835</v>
      </c>
      <c r="J200" s="269">
        <v>15000</v>
      </c>
      <c r="K200" s="280">
        <v>1</v>
      </c>
      <c r="L200" s="280">
        <f t="shared" si="5"/>
        <v>15000</v>
      </c>
      <c r="M200" s="8"/>
      <c r="N200" s="10" t="s">
        <v>792</v>
      </c>
      <c r="O200" s="10" t="s">
        <v>836</v>
      </c>
      <c r="P200" s="280"/>
    </row>
    <row r="201" spans="2:17" ht="41.4">
      <c r="B201" s="280" t="s">
        <v>238</v>
      </c>
      <c r="C201" s="280">
        <v>2026</v>
      </c>
      <c r="D201" s="963" t="s">
        <v>833</v>
      </c>
      <c r="E201" s="964">
        <v>20317</v>
      </c>
      <c r="F201" s="280" t="s">
        <v>777</v>
      </c>
      <c r="G201" s="280">
        <v>3</v>
      </c>
      <c r="H201" s="78" t="s">
        <v>837</v>
      </c>
      <c r="I201" s="272" t="s">
        <v>835</v>
      </c>
      <c r="J201" s="269">
        <v>15000</v>
      </c>
      <c r="K201" s="280">
        <v>1</v>
      </c>
      <c r="L201" s="280">
        <f t="shared" si="5"/>
        <v>15000</v>
      </c>
      <c r="M201" s="8"/>
      <c r="N201" s="10" t="s">
        <v>792</v>
      </c>
      <c r="O201" s="10" t="s">
        <v>838</v>
      </c>
      <c r="P201" s="280"/>
      <c r="Q201" s="1">
        <f>L183+L186+L187+L188+L190+L192+L194+L195+L19</f>
        <v>153074</v>
      </c>
    </row>
    <row r="202" spans="2:17" ht="27.6">
      <c r="B202" s="280" t="s">
        <v>221</v>
      </c>
      <c r="C202" s="280">
        <v>2026</v>
      </c>
      <c r="D202" s="963" t="s">
        <v>839</v>
      </c>
      <c r="E202" s="964">
        <v>20307</v>
      </c>
      <c r="F202" s="280" t="s">
        <v>145</v>
      </c>
      <c r="G202" s="280">
        <v>1</v>
      </c>
      <c r="H202" s="5" t="s">
        <v>840</v>
      </c>
      <c r="I202" s="5" t="s">
        <v>841</v>
      </c>
      <c r="J202" s="280">
        <v>15000</v>
      </c>
      <c r="K202" s="280">
        <v>1</v>
      </c>
      <c r="L202" s="280">
        <f t="shared" si="5"/>
        <v>15000</v>
      </c>
      <c r="M202" s="8"/>
      <c r="N202" s="5" t="s">
        <v>842</v>
      </c>
      <c r="O202" s="5" t="s">
        <v>843</v>
      </c>
      <c r="P202" s="280"/>
    </row>
    <row r="203" spans="2:17" ht="41.4">
      <c r="B203" s="280" t="s">
        <v>221</v>
      </c>
      <c r="C203" s="280">
        <v>2026</v>
      </c>
      <c r="D203" s="963" t="s">
        <v>839</v>
      </c>
      <c r="E203" s="964">
        <v>20307</v>
      </c>
      <c r="F203" s="280" t="s">
        <v>145</v>
      </c>
      <c r="G203" s="280">
        <v>2</v>
      </c>
      <c r="H203" s="5" t="s">
        <v>844</v>
      </c>
      <c r="I203" s="5" t="s">
        <v>845</v>
      </c>
      <c r="J203" s="280" t="s">
        <v>477</v>
      </c>
      <c r="K203" s="280">
        <v>1</v>
      </c>
      <c r="L203" s="280"/>
      <c r="M203" s="8"/>
      <c r="N203" s="5" t="s">
        <v>842</v>
      </c>
      <c r="O203" s="5" t="s">
        <v>846</v>
      </c>
      <c r="P203" s="280"/>
    </row>
    <row r="204" spans="2:17" ht="41.4">
      <c r="B204" s="280" t="s">
        <v>221</v>
      </c>
      <c r="C204" s="280">
        <v>2026</v>
      </c>
      <c r="D204" s="963" t="s">
        <v>839</v>
      </c>
      <c r="E204" s="964">
        <v>20307</v>
      </c>
      <c r="F204" s="280" t="s">
        <v>145</v>
      </c>
      <c r="G204" s="280">
        <v>1</v>
      </c>
      <c r="H204" s="5" t="s">
        <v>847</v>
      </c>
      <c r="I204" s="5" t="s">
        <v>848</v>
      </c>
      <c r="J204" s="280" t="s">
        <v>477</v>
      </c>
      <c r="K204" s="280">
        <v>1</v>
      </c>
      <c r="L204" s="280"/>
      <c r="M204" s="8"/>
      <c r="N204" s="5" t="s">
        <v>842</v>
      </c>
      <c r="O204" s="5" t="s">
        <v>849</v>
      </c>
      <c r="P204" s="280"/>
    </row>
    <row r="205" spans="2:17" ht="82.8">
      <c r="B205" s="10" t="s">
        <v>269</v>
      </c>
      <c r="C205" s="10">
        <v>2026</v>
      </c>
      <c r="D205" s="89" t="s">
        <v>850</v>
      </c>
      <c r="E205" s="90">
        <v>50700</v>
      </c>
      <c r="F205" s="10" t="s">
        <v>851</v>
      </c>
      <c r="G205" s="280">
        <v>1</v>
      </c>
      <c r="H205" s="10" t="s">
        <v>852</v>
      </c>
      <c r="I205" s="10" t="s">
        <v>853</v>
      </c>
      <c r="J205" s="59" t="s">
        <v>854</v>
      </c>
      <c r="K205" s="91" t="s">
        <v>855</v>
      </c>
      <c r="L205" s="280"/>
      <c r="M205" s="8"/>
      <c r="N205" s="10" t="s">
        <v>856</v>
      </c>
      <c r="O205" s="11" t="s">
        <v>857</v>
      </c>
      <c r="P205" s="280"/>
    </row>
    <row r="206" spans="2:17" ht="20.25" customHeight="1">
      <c r="B206" s="10" t="s">
        <v>269</v>
      </c>
      <c r="C206" s="10">
        <v>2026</v>
      </c>
      <c r="D206" s="89" t="s">
        <v>850</v>
      </c>
      <c r="E206" s="90">
        <v>50700</v>
      </c>
      <c r="F206" s="10" t="s">
        <v>851</v>
      </c>
      <c r="G206" s="280">
        <v>1</v>
      </c>
      <c r="H206" s="10" t="s">
        <v>858</v>
      </c>
      <c r="I206" s="10" t="s">
        <v>859</v>
      </c>
      <c r="J206" s="59" t="s">
        <v>860</v>
      </c>
      <c r="K206" s="91" t="s">
        <v>861</v>
      </c>
      <c r="L206" s="280"/>
      <c r="M206" s="8"/>
      <c r="N206" s="10" t="s">
        <v>856</v>
      </c>
      <c r="O206" s="11" t="s">
        <v>862</v>
      </c>
      <c r="P206" s="280"/>
    </row>
    <row r="207" spans="2:17" ht="27.6">
      <c r="B207" s="10" t="s">
        <v>269</v>
      </c>
      <c r="C207" s="10">
        <v>2026</v>
      </c>
      <c r="D207" s="89" t="s">
        <v>850</v>
      </c>
      <c r="E207" s="90">
        <v>50700</v>
      </c>
      <c r="F207" s="10" t="s">
        <v>851</v>
      </c>
      <c r="G207" s="280">
        <v>1</v>
      </c>
      <c r="H207" s="10" t="s">
        <v>863</v>
      </c>
      <c r="I207" s="10" t="s">
        <v>864</v>
      </c>
      <c r="J207" s="92">
        <v>50000</v>
      </c>
      <c r="K207" s="91" t="s">
        <v>861</v>
      </c>
      <c r="L207" s="280"/>
      <c r="M207" s="8"/>
      <c r="N207" s="10" t="s">
        <v>856</v>
      </c>
      <c r="O207" s="11" t="s">
        <v>865</v>
      </c>
      <c r="P207" s="280"/>
    </row>
    <row r="208" spans="2:17" ht="27.6">
      <c r="B208" s="10" t="s">
        <v>269</v>
      </c>
      <c r="C208" s="10">
        <v>2026</v>
      </c>
      <c r="D208" s="89" t="s">
        <v>850</v>
      </c>
      <c r="E208" s="90">
        <v>50700</v>
      </c>
      <c r="F208" s="10" t="s">
        <v>851</v>
      </c>
      <c r="G208" s="280">
        <v>1</v>
      </c>
      <c r="H208" s="10" t="s">
        <v>866</v>
      </c>
      <c r="I208" s="10" t="s">
        <v>867</v>
      </c>
      <c r="J208" s="92">
        <v>3000</v>
      </c>
      <c r="K208" s="91" t="s">
        <v>477</v>
      </c>
      <c r="L208" s="280"/>
      <c r="M208" s="8"/>
      <c r="N208" s="10" t="s">
        <v>856</v>
      </c>
      <c r="O208" s="11" t="s">
        <v>868</v>
      </c>
      <c r="P208" s="280"/>
    </row>
    <row r="209" spans="2:16" ht="16.5" customHeight="1">
      <c r="B209" s="10" t="s">
        <v>221</v>
      </c>
      <c r="C209" s="10">
        <v>2026</v>
      </c>
      <c r="D209" s="89" t="s">
        <v>850</v>
      </c>
      <c r="E209" s="90">
        <v>50700</v>
      </c>
      <c r="F209" s="10" t="s">
        <v>851</v>
      </c>
      <c r="G209" s="280">
        <v>2</v>
      </c>
      <c r="H209" s="10" t="s">
        <v>869</v>
      </c>
      <c r="I209" s="10" t="s">
        <v>870</v>
      </c>
      <c r="J209" s="92">
        <v>3000</v>
      </c>
      <c r="K209" s="91" t="s">
        <v>871</v>
      </c>
      <c r="L209" s="280"/>
      <c r="M209" s="8"/>
      <c r="N209" s="10" t="s">
        <v>856</v>
      </c>
      <c r="O209" s="11" t="s">
        <v>872</v>
      </c>
      <c r="P209" s="280"/>
    </row>
    <row r="210" spans="2:16" ht="27.6">
      <c r="B210" s="10" t="s">
        <v>232</v>
      </c>
      <c r="C210" s="10">
        <v>2026</v>
      </c>
      <c r="D210" s="89" t="s">
        <v>850</v>
      </c>
      <c r="E210" s="90">
        <v>50700</v>
      </c>
      <c r="F210" s="10" t="s">
        <v>851</v>
      </c>
      <c r="G210" s="280">
        <v>2</v>
      </c>
      <c r="H210" s="10" t="s">
        <v>873</v>
      </c>
      <c r="I210" s="10" t="s">
        <v>874</v>
      </c>
      <c r="J210" s="92">
        <v>5000</v>
      </c>
      <c r="K210" s="91" t="s">
        <v>477</v>
      </c>
      <c r="L210" s="280"/>
      <c r="M210" s="8"/>
      <c r="N210" s="10" t="s">
        <v>856</v>
      </c>
      <c r="O210" s="11" t="s">
        <v>875</v>
      </c>
      <c r="P210" s="280"/>
    </row>
    <row r="211" spans="2:16">
      <c r="B211" s="10" t="s">
        <v>121</v>
      </c>
      <c r="C211" s="10">
        <v>2026</v>
      </c>
      <c r="D211" s="4" t="s">
        <v>876</v>
      </c>
      <c r="E211" s="10">
        <v>40300</v>
      </c>
      <c r="F211" s="10" t="s">
        <v>877</v>
      </c>
      <c r="G211" s="10">
        <v>1</v>
      </c>
      <c r="H211" s="10" t="s">
        <v>878</v>
      </c>
      <c r="I211" s="10"/>
      <c r="J211" s="92">
        <v>290000</v>
      </c>
      <c r="K211" s="10"/>
      <c r="L211" s="280"/>
      <c r="M211" s="8"/>
      <c r="N211" s="10" t="s">
        <v>879</v>
      </c>
      <c r="O211" s="10" t="s">
        <v>880</v>
      </c>
      <c r="P211" s="280"/>
    </row>
    <row r="212" spans="2:16">
      <c r="B212" s="79" t="s">
        <v>121</v>
      </c>
      <c r="C212" s="79">
        <v>2026</v>
      </c>
      <c r="D212" s="4" t="s">
        <v>876</v>
      </c>
      <c r="E212" s="10">
        <v>40300</v>
      </c>
      <c r="F212" s="10" t="s">
        <v>877</v>
      </c>
      <c r="G212" s="10">
        <v>1</v>
      </c>
      <c r="H212" s="10" t="s">
        <v>878</v>
      </c>
      <c r="I212" s="10"/>
      <c r="J212" s="92">
        <v>75000</v>
      </c>
      <c r="K212" s="10"/>
      <c r="L212" s="280"/>
      <c r="M212" s="8"/>
      <c r="N212" s="10" t="s">
        <v>879</v>
      </c>
      <c r="O212" s="79" t="s">
        <v>881</v>
      </c>
      <c r="P212" s="280"/>
    </row>
    <row r="213" spans="2:16" ht="27.6">
      <c r="B213" s="10" t="s">
        <v>882</v>
      </c>
      <c r="C213" s="10">
        <v>2026</v>
      </c>
      <c r="D213" s="4" t="s">
        <v>876</v>
      </c>
      <c r="E213" s="10">
        <v>40300</v>
      </c>
      <c r="F213" s="10" t="s">
        <v>877</v>
      </c>
      <c r="G213" s="10">
        <v>1</v>
      </c>
      <c r="H213" s="10" t="s">
        <v>878</v>
      </c>
      <c r="I213" s="10" t="s">
        <v>883</v>
      </c>
      <c r="J213" s="13"/>
      <c r="K213" s="10">
        <v>1</v>
      </c>
      <c r="L213" s="280"/>
      <c r="M213" s="8"/>
      <c r="N213" s="10" t="s">
        <v>879</v>
      </c>
      <c r="O213" s="10" t="s">
        <v>884</v>
      </c>
      <c r="P213" s="280"/>
    </row>
    <row r="214" spans="2:16">
      <c r="B214" s="280" t="s">
        <v>269</v>
      </c>
      <c r="C214" s="79">
        <v>2026</v>
      </c>
      <c r="D214" s="280"/>
      <c r="E214" s="10">
        <v>30400</v>
      </c>
      <c r="F214" s="10" t="s">
        <v>885</v>
      </c>
      <c r="G214" s="10">
        <v>1</v>
      </c>
      <c r="H214" s="93" t="s">
        <v>886</v>
      </c>
      <c r="I214" s="53" t="s">
        <v>887</v>
      </c>
      <c r="J214" s="2"/>
      <c r="K214" s="280"/>
      <c r="L214" s="280"/>
      <c r="M214" s="8"/>
      <c r="N214" s="280"/>
      <c r="O214" s="280"/>
      <c r="P214" s="280"/>
    </row>
    <row r="215" spans="2:16">
      <c r="B215" s="280" t="s">
        <v>269</v>
      </c>
      <c r="C215" s="10">
        <v>2026</v>
      </c>
      <c r="D215" s="280"/>
      <c r="E215" s="50">
        <v>30400</v>
      </c>
      <c r="F215" s="50" t="s">
        <v>885</v>
      </c>
      <c r="G215" s="10">
        <v>1</v>
      </c>
      <c r="H215" s="973" t="s">
        <v>888</v>
      </c>
      <c r="J215" s="289">
        <v>15000</v>
      </c>
      <c r="K215" s="280"/>
      <c r="L215" s="280"/>
      <c r="M215" s="8"/>
      <c r="N215" s="280"/>
      <c r="O215" s="280"/>
      <c r="P215" s="280"/>
    </row>
    <row r="216" spans="2:16">
      <c r="B216" s="280" t="s">
        <v>269</v>
      </c>
      <c r="C216" s="79">
        <v>2026</v>
      </c>
      <c r="D216" s="280"/>
      <c r="E216" s="10">
        <v>30400</v>
      </c>
      <c r="F216" s="10" t="s">
        <v>885</v>
      </c>
      <c r="G216" s="10">
        <v>1</v>
      </c>
      <c r="H216" s="94" t="s">
        <v>889</v>
      </c>
      <c r="I216" s="280"/>
      <c r="J216" s="289">
        <v>18000</v>
      </c>
      <c r="K216" s="280"/>
      <c r="L216" s="280"/>
      <c r="M216" s="8"/>
      <c r="N216" s="280"/>
      <c r="O216" s="280"/>
      <c r="P216" s="280"/>
    </row>
    <row r="217" spans="2:16">
      <c r="B217" s="280" t="s">
        <v>269</v>
      </c>
      <c r="C217" s="10">
        <v>2026</v>
      </c>
      <c r="D217" s="280"/>
      <c r="E217" s="10">
        <v>30400</v>
      </c>
      <c r="F217" s="10" t="s">
        <v>885</v>
      </c>
      <c r="G217" s="10">
        <v>1</v>
      </c>
      <c r="H217" s="94" t="s">
        <v>890</v>
      </c>
      <c r="I217" s="280"/>
      <c r="J217" s="289">
        <v>26000</v>
      </c>
      <c r="K217" s="280"/>
      <c r="L217" s="280"/>
      <c r="M217" s="8"/>
      <c r="N217" s="280"/>
      <c r="O217" s="280" t="s">
        <v>891</v>
      </c>
      <c r="P217" s="280"/>
    </row>
    <row r="218" spans="2:16" ht="69">
      <c r="B218" s="280" t="s">
        <v>269</v>
      </c>
      <c r="C218" s="10">
        <v>2026</v>
      </c>
      <c r="D218" s="280"/>
      <c r="E218" s="10">
        <v>30400</v>
      </c>
      <c r="F218" s="10" t="s">
        <v>885</v>
      </c>
      <c r="G218" s="10">
        <v>1</v>
      </c>
      <c r="H218" s="95" t="s">
        <v>892</v>
      </c>
      <c r="I218" s="10" t="s">
        <v>893</v>
      </c>
      <c r="J218" s="289">
        <v>16000</v>
      </c>
      <c r="K218" s="280"/>
      <c r="L218" s="280"/>
      <c r="M218" s="8"/>
      <c r="N218" s="280"/>
      <c r="O218" s="280"/>
      <c r="P218" s="280"/>
    </row>
    <row r="219" spans="2:16" ht="27.6">
      <c r="B219" s="280" t="s">
        <v>269</v>
      </c>
      <c r="C219" s="10">
        <v>2026</v>
      </c>
      <c r="D219" s="280"/>
      <c r="E219" s="10">
        <v>30400</v>
      </c>
      <c r="F219" s="10" t="s">
        <v>885</v>
      </c>
      <c r="G219" s="10">
        <v>1</v>
      </c>
      <c r="H219" s="96" t="s">
        <v>894</v>
      </c>
      <c r="I219" s="280"/>
      <c r="J219" s="289">
        <v>508200</v>
      </c>
      <c r="K219" s="280"/>
      <c r="L219" s="280"/>
      <c r="M219" s="8"/>
      <c r="N219" s="280"/>
      <c r="O219" s="280" t="s">
        <v>895</v>
      </c>
      <c r="P219" s="280"/>
    </row>
    <row r="220" spans="2:16" ht="82.8">
      <c r="B220" s="280" t="s">
        <v>232</v>
      </c>
      <c r="C220" s="10">
        <v>2026</v>
      </c>
      <c r="D220" s="63"/>
      <c r="E220" s="10">
        <v>30400</v>
      </c>
      <c r="F220" s="10" t="s">
        <v>885</v>
      </c>
      <c r="G220" s="10">
        <v>1</v>
      </c>
      <c r="H220" s="63" t="s">
        <v>896</v>
      </c>
      <c r="I220" s="50" t="s">
        <v>897</v>
      </c>
      <c r="J220" s="2">
        <v>13000</v>
      </c>
      <c r="K220" s="280"/>
      <c r="L220" s="280"/>
      <c r="M220" s="8"/>
      <c r="N220" s="280"/>
      <c r="O220" s="280"/>
      <c r="P220" s="280"/>
    </row>
    <row r="221" spans="2:16" ht="55.2">
      <c r="B221" s="280" t="s">
        <v>368</v>
      </c>
      <c r="C221" s="10">
        <v>2026</v>
      </c>
      <c r="D221" s="280"/>
      <c r="E221" s="10">
        <v>30400</v>
      </c>
      <c r="F221" s="10" t="s">
        <v>885</v>
      </c>
      <c r="G221" s="10">
        <v>2</v>
      </c>
      <c r="H221" s="973" t="s">
        <v>898</v>
      </c>
      <c r="I221" s="50" t="s">
        <v>899</v>
      </c>
      <c r="J221" s="2">
        <v>230000</v>
      </c>
      <c r="K221" s="280"/>
      <c r="L221" s="280"/>
      <c r="M221" s="8"/>
      <c r="N221" s="280" t="s">
        <v>900</v>
      </c>
      <c r="O221" s="97" t="s">
        <v>901</v>
      </c>
      <c r="P221" s="280"/>
    </row>
    <row r="222" spans="2:16" ht="55.2">
      <c r="B222" s="280" t="s">
        <v>368</v>
      </c>
      <c r="C222" s="10">
        <v>2026</v>
      </c>
      <c r="D222" s="280"/>
      <c r="E222" s="10">
        <v>30400</v>
      </c>
      <c r="F222" s="10" t="s">
        <v>885</v>
      </c>
      <c r="G222" s="10">
        <v>1</v>
      </c>
      <c r="H222" s="94" t="s">
        <v>902</v>
      </c>
      <c r="I222" s="10" t="s">
        <v>903</v>
      </c>
      <c r="J222" s="2">
        <v>18000</v>
      </c>
      <c r="K222" s="280"/>
      <c r="L222" s="280"/>
      <c r="M222" s="8"/>
      <c r="N222" s="280"/>
      <c r="O222" s="280"/>
      <c r="P222" s="280"/>
    </row>
    <row r="223" spans="2:16">
      <c r="B223" s="280" t="s">
        <v>368</v>
      </c>
      <c r="C223" s="10">
        <v>2026</v>
      </c>
      <c r="D223" s="280"/>
      <c r="E223" s="10">
        <v>30400</v>
      </c>
      <c r="F223" s="10" t="s">
        <v>885</v>
      </c>
      <c r="G223" s="10">
        <v>1</v>
      </c>
      <c r="H223" s="94" t="s">
        <v>904</v>
      </c>
      <c r="I223" s="10"/>
      <c r="J223" s="289">
        <v>3000</v>
      </c>
      <c r="K223" s="280"/>
      <c r="L223" s="280"/>
      <c r="M223" s="8"/>
      <c r="N223" s="280" t="s">
        <v>905</v>
      </c>
      <c r="O223" s="280"/>
      <c r="P223" s="280"/>
    </row>
    <row r="224" spans="2:16" ht="138">
      <c r="B224" s="280" t="s">
        <v>368</v>
      </c>
      <c r="C224" s="10">
        <v>2026</v>
      </c>
      <c r="D224" s="280"/>
      <c r="E224" s="10">
        <v>30400</v>
      </c>
      <c r="F224" s="10" t="s">
        <v>885</v>
      </c>
      <c r="G224" s="10">
        <v>1</v>
      </c>
      <c r="H224" s="95" t="s">
        <v>906</v>
      </c>
      <c r="I224" s="10" t="s">
        <v>907</v>
      </c>
      <c r="J224" s="2"/>
      <c r="K224" s="280"/>
      <c r="L224" s="280"/>
      <c r="M224" s="8"/>
      <c r="N224" s="280" t="s">
        <v>885</v>
      </c>
      <c r="O224" s="280"/>
      <c r="P224" s="280"/>
    </row>
    <row r="225" spans="2:16">
      <c r="B225" s="10" t="s">
        <v>269</v>
      </c>
      <c r="C225" s="10">
        <v>2026</v>
      </c>
      <c r="D225" s="4" t="s">
        <v>908</v>
      </c>
      <c r="E225" s="10">
        <v>10100</v>
      </c>
      <c r="F225" s="10" t="s">
        <v>909</v>
      </c>
      <c r="G225" s="10"/>
      <c r="H225" s="10" t="s">
        <v>910</v>
      </c>
      <c r="I225" s="280"/>
      <c r="J225" s="13">
        <v>440000</v>
      </c>
      <c r="K225" s="280"/>
      <c r="L225" s="280"/>
      <c r="M225" s="8"/>
      <c r="N225" s="280"/>
      <c r="O225" s="280"/>
      <c r="P225" s="280" t="s">
        <v>911</v>
      </c>
    </row>
    <row r="226" spans="2:16" ht="69">
      <c r="B226" s="10" t="s">
        <v>269</v>
      </c>
      <c r="C226" s="10">
        <v>2026</v>
      </c>
      <c r="D226" s="4" t="s">
        <v>912</v>
      </c>
      <c r="E226" s="10">
        <v>60101</v>
      </c>
      <c r="F226" s="10" t="s">
        <v>913</v>
      </c>
      <c r="G226" s="10"/>
      <c r="H226" s="10" t="s">
        <v>914</v>
      </c>
      <c r="I226" s="280"/>
      <c r="J226" s="13">
        <v>160000</v>
      </c>
      <c r="K226" s="280"/>
      <c r="L226" s="280"/>
      <c r="M226" s="8"/>
      <c r="N226" s="280"/>
      <c r="O226" s="280"/>
      <c r="P226" s="280"/>
    </row>
    <row r="227" spans="2:16" ht="41.4">
      <c r="B227" s="10" t="s">
        <v>238</v>
      </c>
      <c r="C227" s="10">
        <v>2026</v>
      </c>
      <c r="D227" s="4" t="s">
        <v>912</v>
      </c>
      <c r="E227" s="10">
        <v>60101</v>
      </c>
      <c r="F227" s="10" t="s">
        <v>915</v>
      </c>
      <c r="G227" s="10"/>
      <c r="H227" s="10" t="s">
        <v>916</v>
      </c>
      <c r="I227" s="280"/>
      <c r="J227" s="13">
        <v>80000</v>
      </c>
      <c r="K227" s="280"/>
      <c r="L227" s="280"/>
      <c r="M227" s="8"/>
      <c r="N227" s="280"/>
      <c r="O227" s="280"/>
      <c r="P227" s="280"/>
    </row>
    <row r="228" spans="2:16" ht="27.6">
      <c r="B228" s="10" t="s">
        <v>269</v>
      </c>
      <c r="C228" s="10">
        <v>2026</v>
      </c>
      <c r="D228" s="4" t="s">
        <v>912</v>
      </c>
      <c r="E228" s="10">
        <v>60100</v>
      </c>
      <c r="F228" s="10" t="s">
        <v>917</v>
      </c>
      <c r="G228" s="10"/>
      <c r="H228" s="10" t="s">
        <v>918</v>
      </c>
      <c r="I228" s="280"/>
      <c r="J228" s="13">
        <v>20000</v>
      </c>
      <c r="K228" s="280"/>
      <c r="L228" s="280"/>
      <c r="M228" s="8"/>
      <c r="N228" s="280"/>
      <c r="O228" s="280"/>
      <c r="P228" s="280" t="s">
        <v>919</v>
      </c>
    </row>
    <row r="229" spans="2:16">
      <c r="B229" s="10" t="s">
        <v>269</v>
      </c>
      <c r="C229" s="10">
        <v>2026</v>
      </c>
      <c r="D229" s="4" t="s">
        <v>920</v>
      </c>
      <c r="E229" s="10">
        <v>10200</v>
      </c>
      <c r="F229" s="10" t="s">
        <v>921</v>
      </c>
      <c r="G229" s="10"/>
      <c r="H229" s="10" t="s">
        <v>922</v>
      </c>
      <c r="I229" s="280"/>
      <c r="J229" s="13">
        <v>300000</v>
      </c>
      <c r="K229" s="280"/>
      <c r="L229" s="280"/>
      <c r="M229" s="8"/>
      <c r="N229" s="280"/>
      <c r="O229" s="280"/>
      <c r="P229" s="280"/>
    </row>
    <row r="230" spans="2:16">
      <c r="B230" s="10" t="s">
        <v>269</v>
      </c>
      <c r="C230" s="10">
        <v>2026</v>
      </c>
      <c r="D230" s="4" t="s">
        <v>920</v>
      </c>
      <c r="E230" s="10">
        <v>10600</v>
      </c>
      <c r="F230" s="10" t="s">
        <v>923</v>
      </c>
      <c r="G230" s="10"/>
      <c r="H230" s="10" t="s">
        <v>924</v>
      </c>
      <c r="I230" s="280"/>
      <c r="J230" s="13">
        <v>24000</v>
      </c>
      <c r="K230" s="280"/>
      <c r="L230" s="280"/>
      <c r="M230" s="8"/>
      <c r="N230" s="280"/>
      <c r="O230" s="280"/>
      <c r="P230" s="280"/>
    </row>
    <row r="231" spans="2:16" ht="14.4">
      <c r="B231" s="280" t="s">
        <v>314</v>
      </c>
      <c r="C231" s="280">
        <v>2026</v>
      </c>
      <c r="D231" s="52" t="s">
        <v>925</v>
      </c>
      <c r="E231" s="964">
        <v>30318</v>
      </c>
      <c r="F231" s="280" t="s">
        <v>926</v>
      </c>
      <c r="G231" s="10">
        <v>1</v>
      </c>
      <c r="H231" s="280" t="s">
        <v>927</v>
      </c>
      <c r="I231" s="280"/>
      <c r="J231" s="2" t="s">
        <v>928</v>
      </c>
      <c r="K231" s="280"/>
      <c r="L231" s="280"/>
      <c r="M231" s="8"/>
      <c r="N231" s="280"/>
      <c r="O231" s="280"/>
      <c r="P231" s="280"/>
    </row>
    <row r="232" spans="2:16" ht="29.25" customHeight="1">
      <c r="B232" s="280" t="s">
        <v>314</v>
      </c>
      <c r="C232" s="280">
        <v>2026</v>
      </c>
      <c r="D232" s="99" t="s">
        <v>929</v>
      </c>
      <c r="E232" s="964">
        <v>30314</v>
      </c>
      <c r="F232" s="280" t="s">
        <v>930</v>
      </c>
      <c r="G232" s="10">
        <v>1</v>
      </c>
      <c r="H232" s="100" t="s">
        <v>931</v>
      </c>
      <c r="I232" s="100" t="s">
        <v>932</v>
      </c>
      <c r="J232" s="102" t="s">
        <v>933</v>
      </c>
      <c r="K232" s="101">
        <v>5</v>
      </c>
      <c r="L232" s="280"/>
      <c r="N232" s="101" t="s">
        <v>934</v>
      </c>
      <c r="O232" s="104" t="s">
        <v>935</v>
      </c>
      <c r="P232" s="280" t="s">
        <v>936</v>
      </c>
    </row>
    <row r="233" spans="2:16" ht="106.2">
      <c r="B233" s="280" t="s">
        <v>314</v>
      </c>
      <c r="C233" s="280">
        <v>2026</v>
      </c>
      <c r="D233" s="99" t="s">
        <v>929</v>
      </c>
      <c r="E233" s="61">
        <v>30314</v>
      </c>
      <c r="F233" s="280" t="s">
        <v>930</v>
      </c>
      <c r="G233" s="1">
        <v>1</v>
      </c>
      <c r="H233" s="100" t="s">
        <v>931</v>
      </c>
      <c r="I233" s="100" t="s">
        <v>932</v>
      </c>
      <c r="J233" s="116" t="s">
        <v>937</v>
      </c>
      <c r="K233" s="101">
        <v>1</v>
      </c>
      <c r="N233" s="101" t="s">
        <v>934</v>
      </c>
      <c r="O233" s="104" t="s">
        <v>938</v>
      </c>
      <c r="P233" s="1" t="s">
        <v>936</v>
      </c>
    </row>
    <row r="234" spans="2:16" ht="69">
      <c r="B234" s="280" t="s">
        <v>314</v>
      </c>
      <c r="C234" s="280">
        <v>2026</v>
      </c>
      <c r="D234" s="112" t="s">
        <v>929</v>
      </c>
      <c r="E234" s="61">
        <v>30314</v>
      </c>
      <c r="F234" s="280" t="s">
        <v>930</v>
      </c>
      <c r="G234" s="1">
        <v>1</v>
      </c>
      <c r="H234" s="101" t="s">
        <v>939</v>
      </c>
      <c r="I234" s="101" t="s">
        <v>940</v>
      </c>
      <c r="J234" s="117" t="s">
        <v>941</v>
      </c>
      <c r="K234" s="101">
        <v>2</v>
      </c>
      <c r="N234" s="110" t="s">
        <v>934</v>
      </c>
      <c r="O234" s="101"/>
      <c r="P234" s="1" t="s">
        <v>936</v>
      </c>
    </row>
    <row r="235" spans="2:16" ht="100.8">
      <c r="B235" s="281" t="s">
        <v>269</v>
      </c>
      <c r="C235" s="972">
        <v>2026</v>
      </c>
      <c r="D235" s="52" t="s">
        <v>942</v>
      </c>
      <c r="E235" s="964">
        <v>30312</v>
      </c>
      <c r="F235" s="1" t="s">
        <v>943</v>
      </c>
      <c r="H235" s="54" t="s">
        <v>944</v>
      </c>
      <c r="I235" s="54" t="s">
        <v>945</v>
      </c>
      <c r="J235" s="64" t="s">
        <v>946</v>
      </c>
      <c r="K235" s="54" t="s">
        <v>947</v>
      </c>
      <c r="L235" s="280"/>
      <c r="M235" s="8"/>
      <c r="N235" s="280"/>
      <c r="O235" s="54" t="s">
        <v>948</v>
      </c>
      <c r="P235" s="108" t="s">
        <v>949</v>
      </c>
    </row>
    <row r="236" spans="2:16" ht="201.6">
      <c r="B236" s="280" t="s">
        <v>269</v>
      </c>
      <c r="C236" s="19">
        <v>2026</v>
      </c>
      <c r="D236" s="52" t="s">
        <v>942</v>
      </c>
      <c r="E236" s="964">
        <v>30312</v>
      </c>
      <c r="F236" s="111" t="s">
        <v>943</v>
      </c>
      <c r="G236" s="280">
        <v>1</v>
      </c>
      <c r="H236" s="54" t="s">
        <v>950</v>
      </c>
      <c r="I236" s="54" t="s">
        <v>951</v>
      </c>
      <c r="J236" s="64">
        <v>25000</v>
      </c>
      <c r="K236" s="54"/>
      <c r="L236" s="280"/>
      <c r="M236" s="8"/>
      <c r="N236" s="280"/>
      <c r="O236" s="54" t="s">
        <v>952</v>
      </c>
      <c r="P236" s="109"/>
    </row>
    <row r="237" spans="2:16" ht="316.8">
      <c r="B237" s="280" t="s">
        <v>269</v>
      </c>
      <c r="C237" s="10">
        <v>2026</v>
      </c>
      <c r="D237" s="52" t="s">
        <v>942</v>
      </c>
      <c r="E237" s="964">
        <v>30312</v>
      </c>
      <c r="F237" s="111" t="s">
        <v>943</v>
      </c>
      <c r="G237" s="280"/>
      <c r="H237" s="55" t="s">
        <v>953</v>
      </c>
      <c r="I237" s="54" t="s">
        <v>954</v>
      </c>
      <c r="J237" s="64">
        <v>15000</v>
      </c>
      <c r="K237" s="54">
        <v>2</v>
      </c>
      <c r="L237" s="280"/>
      <c r="M237" s="8"/>
      <c r="N237" s="280"/>
      <c r="O237" s="54" t="s">
        <v>955</v>
      </c>
      <c r="P237" s="105" t="s">
        <v>956</v>
      </c>
    </row>
    <row r="238" spans="2:16" ht="28.8">
      <c r="B238" s="280" t="s">
        <v>269</v>
      </c>
      <c r="C238" s="10">
        <v>2026</v>
      </c>
      <c r="D238" s="52" t="s">
        <v>942</v>
      </c>
      <c r="E238" s="964">
        <v>30312</v>
      </c>
      <c r="F238" s="111" t="s">
        <v>943</v>
      </c>
      <c r="G238" s="280"/>
      <c r="H238" s="55" t="s">
        <v>953</v>
      </c>
      <c r="I238" s="54"/>
      <c r="J238" s="64">
        <v>7000</v>
      </c>
      <c r="K238" s="54">
        <v>1</v>
      </c>
      <c r="L238" s="280"/>
      <c r="M238" s="8"/>
      <c r="N238" s="280"/>
      <c r="O238" s="54" t="s">
        <v>957</v>
      </c>
      <c r="P238" s="108" t="s">
        <v>958</v>
      </c>
    </row>
    <row r="239" spans="2:16" ht="43.2">
      <c r="B239" s="280" t="s">
        <v>269</v>
      </c>
      <c r="C239" s="19">
        <v>2026</v>
      </c>
      <c r="D239" s="52" t="s">
        <v>942</v>
      </c>
      <c r="E239" s="964">
        <v>30312</v>
      </c>
      <c r="F239" s="111" t="s">
        <v>943</v>
      </c>
      <c r="G239" s="280"/>
      <c r="H239" s="55" t="s">
        <v>959</v>
      </c>
      <c r="I239" s="54" t="s">
        <v>960</v>
      </c>
      <c r="J239" s="64"/>
      <c r="K239" s="54">
        <v>1</v>
      </c>
      <c r="L239" s="280"/>
      <c r="M239" s="111"/>
      <c r="N239" s="111"/>
      <c r="O239" s="54" t="s">
        <v>961</v>
      </c>
      <c r="P239" s="109"/>
    </row>
    <row r="240" spans="2:16" ht="28.8">
      <c r="B240" s="280" t="s">
        <v>269</v>
      </c>
      <c r="C240" s="10">
        <v>2026</v>
      </c>
      <c r="D240" s="963" t="s">
        <v>942</v>
      </c>
      <c r="E240" s="964">
        <v>30312</v>
      </c>
      <c r="F240" s="111" t="s">
        <v>943</v>
      </c>
      <c r="G240" s="280"/>
      <c r="H240" s="55" t="s">
        <v>959</v>
      </c>
      <c r="I240" s="103" t="s">
        <v>962</v>
      </c>
      <c r="J240" s="64">
        <v>4574</v>
      </c>
      <c r="K240" s="54">
        <v>1</v>
      </c>
      <c r="L240" s="280"/>
      <c r="M240" s="111"/>
      <c r="N240" s="111"/>
      <c r="O240" s="54" t="s">
        <v>963</v>
      </c>
      <c r="P240" s="108" t="s">
        <v>964</v>
      </c>
    </row>
    <row r="241" spans="2:16" ht="14.4">
      <c r="B241" s="280" t="s">
        <v>269</v>
      </c>
      <c r="C241" s="10">
        <v>2026</v>
      </c>
      <c r="D241" s="963" t="s">
        <v>942</v>
      </c>
      <c r="E241" s="964">
        <v>30312</v>
      </c>
      <c r="F241" s="111" t="s">
        <v>943</v>
      </c>
      <c r="G241" s="280"/>
      <c r="H241" s="974" t="s">
        <v>959</v>
      </c>
      <c r="I241" s="106" t="s">
        <v>965</v>
      </c>
      <c r="J241" s="118">
        <v>13848</v>
      </c>
      <c r="K241" s="54">
        <v>1</v>
      </c>
      <c r="L241" s="280"/>
      <c r="M241" s="111"/>
      <c r="N241" s="111"/>
      <c r="O241" s="54" t="s">
        <v>966</v>
      </c>
      <c r="P241" s="108" t="s">
        <v>967</v>
      </c>
    </row>
    <row r="242" spans="2:16" ht="57.6">
      <c r="B242" s="280" t="s">
        <v>269</v>
      </c>
      <c r="C242" s="10">
        <v>2026</v>
      </c>
      <c r="D242" s="963" t="s">
        <v>942</v>
      </c>
      <c r="E242" s="964">
        <v>30312</v>
      </c>
      <c r="F242" s="111" t="s">
        <v>943</v>
      </c>
      <c r="G242" s="280"/>
      <c r="H242" s="55" t="s">
        <v>959</v>
      </c>
      <c r="I242" s="107" t="s">
        <v>968</v>
      </c>
      <c r="J242" s="64">
        <v>990</v>
      </c>
      <c r="K242" s="54">
        <v>1</v>
      </c>
      <c r="L242" s="280"/>
      <c r="M242" s="111"/>
      <c r="N242" s="111"/>
      <c r="O242" s="54" t="s">
        <v>969</v>
      </c>
      <c r="P242" s="108" t="s">
        <v>970</v>
      </c>
    </row>
    <row r="243" spans="2:16" ht="28.8">
      <c r="B243" s="280" t="s">
        <v>269</v>
      </c>
      <c r="C243" s="10">
        <v>2026</v>
      </c>
      <c r="D243" s="963" t="s">
        <v>942</v>
      </c>
      <c r="E243" s="964">
        <v>30312</v>
      </c>
      <c r="F243" s="111" t="s">
        <v>943</v>
      </c>
      <c r="G243" s="280"/>
      <c r="H243" s="55" t="s">
        <v>959</v>
      </c>
      <c r="I243" s="54" t="s">
        <v>971</v>
      </c>
      <c r="J243" s="64">
        <v>5336</v>
      </c>
      <c r="K243" s="54">
        <v>1</v>
      </c>
      <c r="L243" s="280"/>
      <c r="M243" s="111"/>
      <c r="N243" s="111"/>
      <c r="O243" s="54" t="s">
        <v>972</v>
      </c>
      <c r="P243" s="108" t="s">
        <v>973</v>
      </c>
    </row>
    <row r="244" spans="2:16" ht="82.8">
      <c r="B244" s="10" t="s">
        <v>372</v>
      </c>
      <c r="C244" s="10">
        <v>2026</v>
      </c>
      <c r="D244" s="963" t="s">
        <v>942</v>
      </c>
      <c r="E244" s="964">
        <v>30312</v>
      </c>
      <c r="F244" s="111" t="s">
        <v>943</v>
      </c>
      <c r="G244" s="280"/>
      <c r="H244" s="113" t="s">
        <v>974</v>
      </c>
      <c r="I244" s="78" t="s">
        <v>975</v>
      </c>
      <c r="J244" s="13">
        <v>20000</v>
      </c>
      <c r="K244" s="10">
        <v>1</v>
      </c>
      <c r="L244" s="280"/>
      <c r="N244" s="107" t="s">
        <v>976</v>
      </c>
      <c r="O244" s="54" t="s">
        <v>977</v>
      </c>
      <c r="P244" s="108" t="s">
        <v>978</v>
      </c>
    </row>
    <row r="245" spans="2:16" ht="82.8">
      <c r="B245" s="10" t="s">
        <v>372</v>
      </c>
      <c r="C245" s="10">
        <v>2026</v>
      </c>
      <c r="D245" s="963" t="s">
        <v>942</v>
      </c>
      <c r="E245" s="964">
        <v>30312</v>
      </c>
      <c r="F245" s="111" t="s">
        <v>943</v>
      </c>
      <c r="G245" s="280"/>
      <c r="H245" s="113" t="s">
        <v>974</v>
      </c>
      <c r="I245" s="78" t="s">
        <v>975</v>
      </c>
      <c r="J245" s="13">
        <v>20000</v>
      </c>
      <c r="K245" s="10">
        <v>1</v>
      </c>
      <c r="L245" s="280"/>
      <c r="N245" s="107" t="s">
        <v>976</v>
      </c>
      <c r="O245" s="54" t="s">
        <v>979</v>
      </c>
      <c r="P245" s="108" t="s">
        <v>978</v>
      </c>
    </row>
    <row r="246" spans="2:16" ht="14.4">
      <c r="B246" s="10" t="s">
        <v>372</v>
      </c>
      <c r="C246" s="10">
        <v>2026</v>
      </c>
      <c r="D246" s="963" t="s">
        <v>942</v>
      </c>
      <c r="E246" s="964">
        <v>30312</v>
      </c>
      <c r="F246" s="111" t="s">
        <v>943</v>
      </c>
      <c r="G246" s="280"/>
      <c r="H246" s="78" t="s">
        <v>980</v>
      </c>
      <c r="I246" s="10" t="s">
        <v>980</v>
      </c>
      <c r="J246" s="13"/>
      <c r="K246" s="10">
        <v>1</v>
      </c>
      <c r="L246" s="280"/>
      <c r="M246" s="111"/>
      <c r="N246" s="55" t="s">
        <v>981</v>
      </c>
      <c r="O246" s="54" t="s">
        <v>982</v>
      </c>
      <c r="P246" s="108" t="s">
        <v>983</v>
      </c>
    </row>
    <row r="247" spans="2:16" ht="30" customHeight="1">
      <c r="B247" s="10" t="s">
        <v>372</v>
      </c>
      <c r="C247" s="10">
        <v>2026</v>
      </c>
      <c r="D247" s="963" t="s">
        <v>942</v>
      </c>
      <c r="E247" s="964">
        <v>30312</v>
      </c>
      <c r="F247" s="111" t="s">
        <v>943</v>
      </c>
      <c r="G247" s="280"/>
      <c r="H247" s="78" t="s">
        <v>984</v>
      </c>
      <c r="I247" s="10" t="s">
        <v>985</v>
      </c>
      <c r="J247" s="13">
        <v>5000</v>
      </c>
      <c r="K247" s="10">
        <v>3</v>
      </c>
      <c r="L247" s="280"/>
      <c r="M247" s="111"/>
      <c r="N247" s="55" t="s">
        <v>981</v>
      </c>
      <c r="O247" s="54" t="s">
        <v>986</v>
      </c>
      <c r="P247" s="109"/>
    </row>
    <row r="248" spans="2:16" ht="238.2">
      <c r="B248" s="10" t="s">
        <v>372</v>
      </c>
      <c r="C248" s="10">
        <v>2026</v>
      </c>
      <c r="D248" s="963" t="s">
        <v>942</v>
      </c>
      <c r="E248" s="964">
        <v>30312</v>
      </c>
      <c r="F248" s="111" t="s">
        <v>943</v>
      </c>
      <c r="G248" s="280"/>
      <c r="H248" s="78" t="s">
        <v>984</v>
      </c>
      <c r="I248" s="114" t="s">
        <v>987</v>
      </c>
      <c r="J248" s="13">
        <v>5000</v>
      </c>
      <c r="K248" s="10">
        <v>1</v>
      </c>
      <c r="L248" s="280"/>
      <c r="M248" s="111"/>
      <c r="N248" s="55" t="s">
        <v>981</v>
      </c>
      <c r="O248" s="54" t="s">
        <v>988</v>
      </c>
      <c r="P248" s="109"/>
    </row>
    <row r="249" spans="2:16" ht="201.6">
      <c r="B249" s="54" t="s">
        <v>238</v>
      </c>
      <c r="C249" s="54">
        <v>2026</v>
      </c>
      <c r="D249" s="963" t="s">
        <v>942</v>
      </c>
      <c r="E249" s="964">
        <v>30312</v>
      </c>
      <c r="F249" s="111" t="s">
        <v>943</v>
      </c>
      <c r="G249" s="280"/>
      <c r="H249" s="55" t="s">
        <v>989</v>
      </c>
      <c r="I249" s="54" t="s">
        <v>990</v>
      </c>
      <c r="J249" s="64">
        <v>20000</v>
      </c>
      <c r="K249" s="280"/>
      <c r="L249" s="280"/>
      <c r="N249" s="115" t="s">
        <v>991</v>
      </c>
      <c r="O249" s="55" t="s">
        <v>992</v>
      </c>
      <c r="P249" s="108" t="s">
        <v>993</v>
      </c>
    </row>
    <row r="250" spans="2:16" ht="43.2">
      <c r="B250" s="54" t="s">
        <v>238</v>
      </c>
      <c r="C250" s="54">
        <v>2026</v>
      </c>
      <c r="D250" s="963" t="s">
        <v>942</v>
      </c>
      <c r="E250" s="964">
        <v>30312</v>
      </c>
      <c r="F250" s="111" t="s">
        <v>943</v>
      </c>
      <c r="G250" s="280"/>
      <c r="H250" s="55" t="s">
        <v>989</v>
      </c>
      <c r="I250" s="54" t="s">
        <v>994</v>
      </c>
      <c r="J250" s="64">
        <v>80000</v>
      </c>
      <c r="K250" s="280"/>
      <c r="L250" s="280"/>
      <c r="N250" s="107" t="s">
        <v>991</v>
      </c>
      <c r="O250" s="54" t="s">
        <v>995</v>
      </c>
      <c r="P250" s="108" t="s">
        <v>996</v>
      </c>
    </row>
    <row r="251" spans="2:16" ht="43.2">
      <c r="B251" s="54" t="s">
        <v>238</v>
      </c>
      <c r="C251" s="54">
        <v>2026</v>
      </c>
      <c r="D251" s="963" t="s">
        <v>942</v>
      </c>
      <c r="E251" s="964">
        <v>30312</v>
      </c>
      <c r="F251" s="111" t="s">
        <v>943</v>
      </c>
      <c r="G251" s="280"/>
      <c r="H251" s="55" t="s">
        <v>989</v>
      </c>
      <c r="I251" s="54" t="s">
        <v>994</v>
      </c>
      <c r="J251" s="64">
        <v>5760</v>
      </c>
      <c r="K251" s="280"/>
      <c r="L251" s="280"/>
      <c r="N251" s="115" t="s">
        <v>991</v>
      </c>
      <c r="O251" s="55" t="s">
        <v>997</v>
      </c>
      <c r="P251" s="108" t="s">
        <v>998</v>
      </c>
    </row>
    <row r="252" spans="2:16" ht="72">
      <c r="B252" s="54" t="s">
        <v>368</v>
      </c>
      <c r="C252" s="54">
        <v>2026</v>
      </c>
      <c r="D252" s="963" t="s">
        <v>942</v>
      </c>
      <c r="E252" s="964">
        <v>30312</v>
      </c>
      <c r="F252" s="111" t="s">
        <v>943</v>
      </c>
      <c r="G252" s="280"/>
      <c r="H252" s="56" t="s">
        <v>999</v>
      </c>
      <c r="I252" s="54" t="s">
        <v>1000</v>
      </c>
      <c r="J252" s="64">
        <v>12240</v>
      </c>
      <c r="K252" s="119" t="s">
        <v>564</v>
      </c>
      <c r="L252" s="280"/>
      <c r="M252" s="8"/>
      <c r="N252" s="54" t="s">
        <v>1001</v>
      </c>
      <c r="O252" s="54" t="s">
        <v>1002</v>
      </c>
      <c r="P252" s="108" t="s">
        <v>1003</v>
      </c>
    </row>
    <row r="253" spans="2:16" ht="201.6">
      <c r="B253" s="54" t="s">
        <v>368</v>
      </c>
      <c r="C253" s="54">
        <v>2026</v>
      </c>
      <c r="D253" s="963" t="s">
        <v>942</v>
      </c>
      <c r="E253" s="964">
        <v>30312</v>
      </c>
      <c r="F253" s="111" t="s">
        <v>943</v>
      </c>
      <c r="G253" s="280"/>
      <c r="H253" s="120" t="s">
        <v>1004</v>
      </c>
      <c r="I253" s="55" t="s">
        <v>1005</v>
      </c>
      <c r="J253" s="64">
        <v>5749</v>
      </c>
      <c r="K253" s="119" t="s">
        <v>1006</v>
      </c>
      <c r="L253" s="280"/>
      <c r="M253" s="8"/>
      <c r="N253" s="54" t="s">
        <v>981</v>
      </c>
      <c r="O253" s="54" t="s">
        <v>1007</v>
      </c>
      <c r="P253" s="108" t="s">
        <v>1008</v>
      </c>
    </row>
    <row r="254" spans="2:16" ht="14.4">
      <c r="B254" s="54" t="s">
        <v>368</v>
      </c>
      <c r="C254" s="54">
        <v>2026</v>
      </c>
      <c r="D254" s="963" t="s">
        <v>942</v>
      </c>
      <c r="E254" s="964">
        <v>30312</v>
      </c>
      <c r="F254" s="111" t="s">
        <v>943</v>
      </c>
      <c r="G254" s="280"/>
      <c r="H254" s="121" t="s">
        <v>1009</v>
      </c>
      <c r="I254" s="54" t="s">
        <v>1010</v>
      </c>
      <c r="J254" s="64">
        <v>1035</v>
      </c>
      <c r="K254" s="54">
        <v>2</v>
      </c>
      <c r="L254" s="280"/>
      <c r="M254" s="8"/>
      <c r="N254" s="54" t="s">
        <v>981</v>
      </c>
      <c r="O254" s="54" t="s">
        <v>1011</v>
      </c>
      <c r="P254" s="108" t="s">
        <v>1012</v>
      </c>
    </row>
    <row r="255" spans="2:16" ht="28.8">
      <c r="B255" s="54" t="s">
        <v>368</v>
      </c>
      <c r="C255" s="54">
        <v>2026</v>
      </c>
      <c r="D255" s="963" t="s">
        <v>942</v>
      </c>
      <c r="E255" s="964">
        <v>30312</v>
      </c>
      <c r="F255" s="111" t="s">
        <v>943</v>
      </c>
      <c r="G255" s="280"/>
      <c r="H255" s="121" t="s">
        <v>999</v>
      </c>
      <c r="I255" s="55" t="s">
        <v>1013</v>
      </c>
      <c r="J255" s="64">
        <v>949</v>
      </c>
      <c r="K255" s="54">
        <v>1</v>
      </c>
      <c r="L255" s="280"/>
      <c r="M255" s="8"/>
      <c r="N255" s="54" t="s">
        <v>1001</v>
      </c>
      <c r="O255" s="54" t="s">
        <v>1014</v>
      </c>
      <c r="P255" s="108" t="s">
        <v>1015</v>
      </c>
    </row>
    <row r="256" spans="2:16" ht="43.2">
      <c r="B256" s="54" t="s">
        <v>368</v>
      </c>
      <c r="C256" s="54">
        <v>2026</v>
      </c>
      <c r="D256" s="963" t="s">
        <v>942</v>
      </c>
      <c r="E256" s="964">
        <v>30312</v>
      </c>
      <c r="F256" s="111" t="s">
        <v>943</v>
      </c>
      <c r="G256" s="280"/>
      <c r="H256" s="54" t="s">
        <v>1016</v>
      </c>
      <c r="I256" s="54" t="s">
        <v>1017</v>
      </c>
      <c r="J256" s="64">
        <v>10000</v>
      </c>
      <c r="K256" s="54"/>
      <c r="L256" s="280"/>
      <c r="M256" s="8"/>
      <c r="N256" s="54" t="s">
        <v>1018</v>
      </c>
      <c r="O256" s="54" t="s">
        <v>1019</v>
      </c>
      <c r="P256" s="109"/>
    </row>
    <row r="257" spans="2:16" ht="26.25" customHeight="1">
      <c r="B257" s="280" t="s">
        <v>121</v>
      </c>
      <c r="C257" s="280">
        <v>2026</v>
      </c>
      <c r="D257" s="62" t="s">
        <v>1020</v>
      </c>
      <c r="E257" s="54">
        <v>50600</v>
      </c>
      <c r="F257" s="54" t="s">
        <v>1021</v>
      </c>
      <c r="G257" s="280">
        <v>1</v>
      </c>
      <c r="H257" s="54" t="s">
        <v>1022</v>
      </c>
      <c r="I257" s="54" t="s">
        <v>1023</v>
      </c>
      <c r="J257" s="64">
        <v>300000</v>
      </c>
      <c r="K257" s="54" t="s">
        <v>1024</v>
      </c>
      <c r="L257" s="280"/>
      <c r="M257" s="8"/>
      <c r="N257" s="54" t="s">
        <v>1025</v>
      </c>
      <c r="O257" s="54" t="s">
        <v>1026</v>
      </c>
    </row>
    <row r="258" spans="2:16" ht="43.2">
      <c r="B258" s="1" t="s">
        <v>238</v>
      </c>
      <c r="C258" s="1">
        <v>2026</v>
      </c>
      <c r="D258" s="105" t="s">
        <v>1027</v>
      </c>
      <c r="E258" s="61">
        <v>80103</v>
      </c>
      <c r="F258" s="1" t="s">
        <v>1028</v>
      </c>
      <c r="G258" s="1">
        <v>1</v>
      </c>
      <c r="H258" s="975" t="s">
        <v>1029</v>
      </c>
      <c r="I258" s="975" t="s">
        <v>1030</v>
      </c>
      <c r="J258" s="1">
        <v>10000</v>
      </c>
      <c r="N258" s="1" t="s">
        <v>1031</v>
      </c>
      <c r="O258" s="975" t="s">
        <v>1030</v>
      </c>
    </row>
    <row r="259" spans="2:16" ht="14.4">
      <c r="B259" s="1" t="s">
        <v>121</v>
      </c>
      <c r="C259" s="1">
        <v>2026</v>
      </c>
      <c r="D259" s="105" t="s">
        <v>1027</v>
      </c>
      <c r="E259" s="61">
        <v>80103</v>
      </c>
      <c r="F259" s="1" t="s">
        <v>1028</v>
      </c>
      <c r="G259" s="1">
        <v>1</v>
      </c>
      <c r="H259" s="975" t="s">
        <v>313</v>
      </c>
      <c r="I259" s="1" t="s">
        <v>1032</v>
      </c>
      <c r="J259" s="1">
        <v>6000</v>
      </c>
      <c r="N259" s="1" t="s">
        <v>1031</v>
      </c>
      <c r="O259" s="975" t="s">
        <v>1033</v>
      </c>
    </row>
    <row r="260" spans="2:16" ht="14.4">
      <c r="B260" s="1" t="s">
        <v>269</v>
      </c>
      <c r="C260" s="1">
        <v>2026</v>
      </c>
      <c r="D260" s="105" t="s">
        <v>1027</v>
      </c>
      <c r="E260" s="61">
        <v>80103</v>
      </c>
      <c r="F260" s="1" t="s">
        <v>1028</v>
      </c>
      <c r="G260" s="1">
        <v>1</v>
      </c>
      <c r="H260" s="975" t="s">
        <v>313</v>
      </c>
      <c r="I260" s="1" t="s">
        <v>1034</v>
      </c>
      <c r="J260" s="1">
        <v>8000</v>
      </c>
      <c r="N260" s="1" t="s">
        <v>1031</v>
      </c>
      <c r="O260" s="975" t="s">
        <v>1035</v>
      </c>
    </row>
    <row r="261" spans="2:16" ht="72">
      <c r="B261" s="1" t="s">
        <v>368</v>
      </c>
      <c r="C261" s="1">
        <v>2026</v>
      </c>
      <c r="D261" s="105" t="s">
        <v>1027</v>
      </c>
      <c r="E261" s="61">
        <v>80103</v>
      </c>
      <c r="F261" s="1" t="s">
        <v>1028</v>
      </c>
      <c r="G261" s="1">
        <v>1</v>
      </c>
      <c r="H261" s="975" t="s">
        <v>1036</v>
      </c>
      <c r="I261" s="975" t="s">
        <v>1037</v>
      </c>
      <c r="J261" s="1">
        <v>35000</v>
      </c>
      <c r="N261" s="1" t="s">
        <v>1031</v>
      </c>
      <c r="O261" s="975" t="s">
        <v>1038</v>
      </c>
    </row>
    <row r="262" spans="2:16" ht="14.4">
      <c r="B262" s="1" t="s">
        <v>121</v>
      </c>
      <c r="C262" s="1">
        <v>2026</v>
      </c>
      <c r="D262" s="105" t="s">
        <v>876</v>
      </c>
      <c r="E262" s="61">
        <v>40300</v>
      </c>
      <c r="F262" s="1" t="s">
        <v>877</v>
      </c>
      <c r="G262" s="1">
        <v>1</v>
      </c>
      <c r="H262" s="976" t="s">
        <v>878</v>
      </c>
      <c r="I262" s="976"/>
      <c r="J262" s="1">
        <v>290000</v>
      </c>
      <c r="N262" s="1" t="s">
        <v>879</v>
      </c>
      <c r="O262" s="976" t="s">
        <v>880</v>
      </c>
    </row>
    <row r="263" spans="2:16" ht="14.4">
      <c r="B263" s="1" t="s">
        <v>121</v>
      </c>
      <c r="C263" s="1">
        <v>2026</v>
      </c>
      <c r="D263" s="105" t="s">
        <v>876</v>
      </c>
      <c r="E263" s="61">
        <v>40300</v>
      </c>
      <c r="F263" s="1" t="s">
        <v>877</v>
      </c>
      <c r="G263" s="1">
        <v>1</v>
      </c>
      <c r="H263" s="976" t="s">
        <v>878</v>
      </c>
      <c r="I263" s="976"/>
      <c r="J263" s="1">
        <v>75000</v>
      </c>
      <c r="N263" s="1" t="s">
        <v>879</v>
      </c>
      <c r="O263" t="s">
        <v>881</v>
      </c>
    </row>
    <row r="264" spans="2:16" ht="28.8">
      <c r="B264" s="1" t="s">
        <v>238</v>
      </c>
      <c r="C264" s="1">
        <v>2026</v>
      </c>
      <c r="D264" s="105" t="s">
        <v>876</v>
      </c>
      <c r="E264" s="61">
        <v>40300</v>
      </c>
      <c r="F264" s="1" t="s">
        <v>877</v>
      </c>
      <c r="G264" s="1">
        <v>1</v>
      </c>
      <c r="H264" s="976" t="s">
        <v>878</v>
      </c>
      <c r="I264" s="976" t="s">
        <v>883</v>
      </c>
      <c r="J264" s="1" t="s">
        <v>477</v>
      </c>
      <c r="K264" s="1">
        <v>1</v>
      </c>
      <c r="N264" s="1" t="s">
        <v>879</v>
      </c>
      <c r="O264" s="976" t="s">
        <v>884</v>
      </c>
    </row>
    <row r="265" spans="2:16" ht="43.2">
      <c r="B265" s="1" t="s">
        <v>269</v>
      </c>
      <c r="C265" s="976">
        <v>2026</v>
      </c>
      <c r="D265" s="62" t="s">
        <v>1039</v>
      </c>
      <c r="E265" s="976">
        <v>50102</v>
      </c>
      <c r="F265" s="976" t="s">
        <v>167</v>
      </c>
      <c r="G265" s="1">
        <v>1</v>
      </c>
      <c r="H265" s="977" t="s">
        <v>1040</v>
      </c>
      <c r="J265" s="1">
        <v>400000</v>
      </c>
      <c r="K265" s="1" t="s">
        <v>1041</v>
      </c>
      <c r="N265" s="1" t="s">
        <v>1042</v>
      </c>
      <c r="O265" s="976" t="s">
        <v>669</v>
      </c>
    </row>
    <row r="266" spans="2:16" ht="72">
      <c r="B266" s="1" t="s">
        <v>269</v>
      </c>
      <c r="C266" s="976">
        <v>2026</v>
      </c>
      <c r="D266" s="62" t="s">
        <v>1039</v>
      </c>
      <c r="E266" s="976">
        <v>50102</v>
      </c>
      <c r="F266" s="976" t="s">
        <v>167</v>
      </c>
      <c r="G266" s="1">
        <v>1</v>
      </c>
      <c r="H266" s="976" t="s">
        <v>1043</v>
      </c>
      <c r="J266" s="1">
        <v>90000</v>
      </c>
      <c r="L266" s="1" t="s">
        <v>1044</v>
      </c>
      <c r="O266" s="976" t="s">
        <v>1045</v>
      </c>
    </row>
    <row r="267" spans="2:16" ht="57.6">
      <c r="B267" s="1" t="s">
        <v>269</v>
      </c>
      <c r="C267" s="976">
        <v>2026</v>
      </c>
      <c r="D267" s="62" t="s">
        <v>1039</v>
      </c>
      <c r="E267" s="976">
        <v>50102</v>
      </c>
      <c r="F267" s="976" t="s">
        <v>167</v>
      </c>
      <c r="G267" s="1">
        <v>1</v>
      </c>
      <c r="H267" s="976" t="s">
        <v>1046</v>
      </c>
      <c r="J267" s="1">
        <v>300000</v>
      </c>
      <c r="O267" s="976" t="s">
        <v>1047</v>
      </c>
    </row>
    <row r="268" spans="2:16" ht="43.2">
      <c r="B268" s="1" t="s">
        <v>269</v>
      </c>
      <c r="C268" s="976">
        <v>2026</v>
      </c>
      <c r="D268" s="62" t="s">
        <v>1039</v>
      </c>
      <c r="E268" s="976">
        <v>50102</v>
      </c>
      <c r="F268" s="976" t="s">
        <v>167</v>
      </c>
      <c r="G268" s="1">
        <v>1</v>
      </c>
      <c r="H268" s="976" t="s">
        <v>1048</v>
      </c>
      <c r="J268" s="1">
        <v>50000</v>
      </c>
      <c r="L268" s="1" t="s">
        <v>1049</v>
      </c>
      <c r="O268" s="976" t="s">
        <v>1047</v>
      </c>
    </row>
    <row r="269" spans="2:16" ht="72">
      <c r="B269" s="1" t="s">
        <v>269</v>
      </c>
      <c r="C269" s="976">
        <v>2026</v>
      </c>
      <c r="D269" s="62" t="s">
        <v>1039</v>
      </c>
      <c r="E269" s="976">
        <v>50102</v>
      </c>
      <c r="F269" s="976" t="s">
        <v>167</v>
      </c>
      <c r="G269" s="1">
        <v>1</v>
      </c>
      <c r="H269" s="976" t="s">
        <v>1050</v>
      </c>
      <c r="J269" s="1" t="s">
        <v>1051</v>
      </c>
      <c r="K269" s="1">
        <v>3</v>
      </c>
      <c r="O269" s="976" t="s">
        <v>1052</v>
      </c>
    </row>
    <row r="270" spans="2:16" ht="43.2">
      <c r="B270" s="1" t="s">
        <v>238</v>
      </c>
      <c r="C270" s="976">
        <v>2026</v>
      </c>
      <c r="D270" s="62" t="s">
        <v>1039</v>
      </c>
      <c r="E270" s="976">
        <v>50102</v>
      </c>
      <c r="F270" s="976" t="s">
        <v>167</v>
      </c>
      <c r="G270" s="1">
        <v>1</v>
      </c>
      <c r="H270" s="1" t="s">
        <v>1053</v>
      </c>
      <c r="J270" s="157">
        <v>20000</v>
      </c>
      <c r="K270" s="157">
        <v>1</v>
      </c>
      <c r="L270" s="157">
        <v>20000</v>
      </c>
      <c r="N270" s="1" t="s">
        <v>1042</v>
      </c>
      <c r="O270" s="1" t="s">
        <v>1054</v>
      </c>
    </row>
    <row r="271" spans="2:16" ht="43.2">
      <c r="B271" s="1" t="s">
        <v>232</v>
      </c>
      <c r="C271" s="1">
        <v>2026</v>
      </c>
      <c r="D271" s="62" t="s">
        <v>1039</v>
      </c>
      <c r="E271" s="976">
        <v>50102</v>
      </c>
      <c r="F271" s="976" t="s">
        <v>167</v>
      </c>
      <c r="G271" s="1">
        <v>1</v>
      </c>
      <c r="H271" s="1" t="s">
        <v>1055</v>
      </c>
      <c r="J271" s="1" t="s">
        <v>1056</v>
      </c>
      <c r="K271" s="1">
        <v>2</v>
      </c>
      <c r="L271" s="1" t="s">
        <v>1056</v>
      </c>
      <c r="N271" s="1" t="s">
        <v>1042</v>
      </c>
      <c r="O271" s="1" t="s">
        <v>1057</v>
      </c>
      <c r="P271" s="1" t="s">
        <v>1058</v>
      </c>
    </row>
    <row r="272" spans="2:16" ht="43.2">
      <c r="B272" s="1" t="s">
        <v>269</v>
      </c>
      <c r="C272" s="976">
        <v>2026</v>
      </c>
      <c r="D272" s="62" t="s">
        <v>1059</v>
      </c>
      <c r="E272" s="976">
        <v>50100</v>
      </c>
      <c r="F272" s="976" t="s">
        <v>1060</v>
      </c>
      <c r="G272" s="1">
        <v>1</v>
      </c>
      <c r="H272" s="977" t="s">
        <v>1061</v>
      </c>
      <c r="I272" s="976" t="s">
        <v>1062</v>
      </c>
      <c r="J272" s="977" t="s">
        <v>1063</v>
      </c>
      <c r="K272" s="276">
        <v>46303</v>
      </c>
      <c r="N272" s="1" t="s">
        <v>1064</v>
      </c>
      <c r="O272" s="976" t="s">
        <v>1065</v>
      </c>
    </row>
    <row r="273" spans="2:15" ht="43.2">
      <c r="B273" s="1" t="s">
        <v>269</v>
      </c>
      <c r="C273" s="976">
        <v>2026</v>
      </c>
      <c r="D273" s="62" t="s">
        <v>1059</v>
      </c>
      <c r="E273" s="976">
        <v>50100</v>
      </c>
      <c r="F273" s="976" t="s">
        <v>1060</v>
      </c>
      <c r="G273" s="1">
        <v>1</v>
      </c>
      <c r="H273" s="976" t="s">
        <v>297</v>
      </c>
      <c r="I273" s="976" t="s">
        <v>299</v>
      </c>
      <c r="J273" s="978" t="s">
        <v>1066</v>
      </c>
      <c r="K273" s="1">
        <v>8</v>
      </c>
      <c r="N273" s="1" t="s">
        <v>1064</v>
      </c>
      <c r="O273" s="976" t="s">
        <v>649</v>
      </c>
    </row>
    <row r="274" spans="2:15" ht="43.2">
      <c r="B274" s="1" t="s">
        <v>269</v>
      </c>
      <c r="C274" s="976">
        <v>2026</v>
      </c>
      <c r="D274" s="62" t="s">
        <v>1059</v>
      </c>
      <c r="E274" s="976">
        <v>50100</v>
      </c>
      <c r="F274" s="976" t="s">
        <v>1060</v>
      </c>
      <c r="G274" s="1">
        <v>1</v>
      </c>
      <c r="H274" s="976" t="s">
        <v>1067</v>
      </c>
      <c r="I274" s="277" t="s">
        <v>1068</v>
      </c>
      <c r="J274" s="976" t="s">
        <v>1069</v>
      </c>
      <c r="N274" s="1" t="s">
        <v>1064</v>
      </c>
      <c r="O274" s="976" t="s">
        <v>1070</v>
      </c>
    </row>
    <row r="275" spans="2:15" ht="100.8">
      <c r="B275" s="1" t="s">
        <v>269</v>
      </c>
      <c r="C275" s="976">
        <v>2026</v>
      </c>
      <c r="D275" s="62" t="s">
        <v>1059</v>
      </c>
      <c r="E275" s="976">
        <v>50100</v>
      </c>
      <c r="F275" s="976" t="s">
        <v>1060</v>
      </c>
      <c r="G275" s="1">
        <v>1</v>
      </c>
      <c r="H275" s="976" t="s">
        <v>1071</v>
      </c>
      <c r="I275" s="277" t="s">
        <v>1072</v>
      </c>
      <c r="J275" s="976" t="s">
        <v>1073</v>
      </c>
      <c r="N275" s="1" t="s">
        <v>1064</v>
      </c>
      <c r="O275" s="976" t="s">
        <v>1057</v>
      </c>
    </row>
    <row r="276" spans="2:15" ht="86.4">
      <c r="B276" s="1" t="s">
        <v>269</v>
      </c>
      <c r="C276" s="976">
        <v>2026</v>
      </c>
      <c r="D276" s="62" t="s">
        <v>1059</v>
      </c>
      <c r="E276" s="976">
        <v>50100</v>
      </c>
      <c r="F276" s="976" t="s">
        <v>1060</v>
      </c>
      <c r="G276" s="1">
        <v>1</v>
      </c>
      <c r="H276" s="976" t="s">
        <v>1074</v>
      </c>
      <c r="I276" s="976" t="s">
        <v>1075</v>
      </c>
      <c r="J276" s="976" t="s">
        <v>1076</v>
      </c>
      <c r="K276" s="1" t="s">
        <v>1077</v>
      </c>
      <c r="N276" s="1" t="s">
        <v>1064</v>
      </c>
      <c r="O276" s="976" t="s">
        <v>1078</v>
      </c>
    </row>
    <row r="277" spans="2:15" ht="43.2">
      <c r="B277" s="1" t="s">
        <v>269</v>
      </c>
      <c r="C277" s="976">
        <v>2026</v>
      </c>
      <c r="D277" s="62" t="s">
        <v>1059</v>
      </c>
      <c r="E277" s="976">
        <v>50100</v>
      </c>
      <c r="F277" s="976" t="s">
        <v>1060</v>
      </c>
      <c r="G277" s="1">
        <v>1</v>
      </c>
      <c r="H277" s="976" t="s">
        <v>297</v>
      </c>
      <c r="I277" s="976" t="s">
        <v>1079</v>
      </c>
      <c r="J277" s="976" t="s">
        <v>1080</v>
      </c>
      <c r="N277" s="1" t="s">
        <v>1064</v>
      </c>
      <c r="O277" s="976" t="s">
        <v>1081</v>
      </c>
    </row>
    <row r="278" spans="2:15" ht="72">
      <c r="B278" s="1" t="s">
        <v>269</v>
      </c>
      <c r="C278" s="976">
        <v>2026</v>
      </c>
      <c r="D278" s="62" t="s">
        <v>1059</v>
      </c>
      <c r="E278" s="976">
        <v>50100</v>
      </c>
      <c r="F278" s="976" t="s">
        <v>1060</v>
      </c>
      <c r="G278" s="1">
        <v>1</v>
      </c>
      <c r="H278" s="976" t="s">
        <v>1082</v>
      </c>
      <c r="I278" s="976" t="s">
        <v>1083</v>
      </c>
      <c r="J278" s="976" t="s">
        <v>1084</v>
      </c>
      <c r="N278" s="1" t="s">
        <v>1064</v>
      </c>
      <c r="O278" s="976" t="s">
        <v>1085</v>
      </c>
    </row>
    <row r="279" spans="2:15" ht="43.2">
      <c r="B279" s="1" t="s">
        <v>238</v>
      </c>
      <c r="C279" s="1">
        <v>2026</v>
      </c>
      <c r="D279" s="62" t="s">
        <v>1059</v>
      </c>
      <c r="E279" s="976">
        <v>50100</v>
      </c>
      <c r="F279" s="976" t="s">
        <v>1060</v>
      </c>
      <c r="G279" s="1">
        <v>1</v>
      </c>
      <c r="H279" s="976" t="s">
        <v>1053</v>
      </c>
      <c r="J279" s="1">
        <v>40000</v>
      </c>
      <c r="K279" s="1" t="s">
        <v>1086</v>
      </c>
      <c r="N279" s="1" t="s">
        <v>1064</v>
      </c>
      <c r="O279" s="976" t="s">
        <v>1087</v>
      </c>
    </row>
    <row r="280" spans="2:15" ht="43.2">
      <c r="B280" s="1" t="s">
        <v>232</v>
      </c>
      <c r="C280" s="1">
        <v>2026</v>
      </c>
      <c r="D280" s="62" t="s">
        <v>1059</v>
      </c>
      <c r="E280" s="976">
        <v>50100</v>
      </c>
      <c r="F280" s="976" t="s">
        <v>1060</v>
      </c>
      <c r="G280" s="1">
        <v>2</v>
      </c>
      <c r="J280" s="1" t="s">
        <v>1056</v>
      </c>
      <c r="K280" s="276" t="s">
        <v>1088</v>
      </c>
      <c r="N280" s="1" t="s">
        <v>1064</v>
      </c>
      <c r="O280" s="1" t="s">
        <v>1089</v>
      </c>
    </row>
    <row r="281" spans="2:15" ht="28.8">
      <c r="B281" s="1" t="s">
        <v>121</v>
      </c>
      <c r="C281" s="1">
        <v>2026</v>
      </c>
      <c r="D281" s="62" t="s">
        <v>1059</v>
      </c>
      <c r="E281" s="976">
        <v>50101</v>
      </c>
      <c r="F281" s="976" t="s">
        <v>166</v>
      </c>
      <c r="G281" s="1">
        <v>1</v>
      </c>
      <c r="H281" s="976" t="s">
        <v>1090</v>
      </c>
      <c r="J281" s="977" t="s">
        <v>1091</v>
      </c>
      <c r="L281" s="1">
        <v>10000</v>
      </c>
      <c r="N281" s="1" t="s">
        <v>1064</v>
      </c>
      <c r="O281" s="976" t="s">
        <v>1092</v>
      </c>
    </row>
    <row r="282" spans="2:15" ht="28.8">
      <c r="B282" s="1" t="s">
        <v>121</v>
      </c>
      <c r="C282" s="1">
        <v>2026</v>
      </c>
      <c r="D282" s="62" t="s">
        <v>1059</v>
      </c>
      <c r="E282" s="976">
        <v>50101</v>
      </c>
      <c r="F282" s="976" t="s">
        <v>166</v>
      </c>
      <c r="G282" s="1">
        <v>1</v>
      </c>
      <c r="H282" s="976" t="s">
        <v>1093</v>
      </c>
      <c r="J282" s="976" t="s">
        <v>1094</v>
      </c>
      <c r="K282" s="1" t="s">
        <v>1095</v>
      </c>
      <c r="L282" s="1">
        <v>6000</v>
      </c>
      <c r="N282" s="1" t="s">
        <v>1064</v>
      </c>
      <c r="O282" s="976" t="s">
        <v>1096</v>
      </c>
    </row>
    <row r="283" spans="2:15" ht="28.8">
      <c r="B283" s="1" t="s">
        <v>121</v>
      </c>
      <c r="C283" s="1">
        <v>2026</v>
      </c>
      <c r="D283" s="62" t="s">
        <v>1059</v>
      </c>
      <c r="E283" s="976">
        <v>50101</v>
      </c>
      <c r="F283" s="976" t="s">
        <v>166</v>
      </c>
      <c r="G283" s="1">
        <v>1</v>
      </c>
      <c r="H283" s="277" t="s">
        <v>1097</v>
      </c>
      <c r="J283" s="976" t="s">
        <v>1069</v>
      </c>
      <c r="N283" s="1" t="s">
        <v>1064</v>
      </c>
      <c r="O283" s="976" t="s">
        <v>1098</v>
      </c>
    </row>
    <row r="284" spans="2:15" ht="86.4">
      <c r="B284" s="1" t="s">
        <v>121</v>
      </c>
      <c r="C284" s="1">
        <v>2026</v>
      </c>
      <c r="D284" s="62" t="s">
        <v>1059</v>
      </c>
      <c r="E284" s="976">
        <v>50101</v>
      </c>
      <c r="F284" s="976" t="s">
        <v>166</v>
      </c>
      <c r="G284" s="1">
        <v>1</v>
      </c>
      <c r="H284" s="976" t="s">
        <v>1075</v>
      </c>
      <c r="J284" s="976" t="s">
        <v>1076</v>
      </c>
      <c r="K284" s="1" t="s">
        <v>1099</v>
      </c>
      <c r="N284" s="1" t="s">
        <v>1064</v>
      </c>
      <c r="O284" s="976" t="s">
        <v>1100</v>
      </c>
    </row>
    <row r="285" spans="2:15" ht="28.8">
      <c r="B285" s="1" t="s">
        <v>121</v>
      </c>
      <c r="C285" s="1">
        <v>2026</v>
      </c>
      <c r="D285" s="62" t="s">
        <v>1059</v>
      </c>
      <c r="E285" s="976">
        <v>50101</v>
      </c>
      <c r="F285" s="976" t="s">
        <v>166</v>
      </c>
      <c r="H285" s="976" t="s">
        <v>1101</v>
      </c>
      <c r="J285" s="976" t="s">
        <v>1102</v>
      </c>
      <c r="N285" s="1" t="s">
        <v>1064</v>
      </c>
      <c r="O285" s="976" t="s">
        <v>1103</v>
      </c>
    </row>
    <row r="286" spans="2:15" ht="28.8">
      <c r="B286" s="1" t="s">
        <v>238</v>
      </c>
      <c r="C286" s="1">
        <v>2026</v>
      </c>
      <c r="D286" s="62" t="s">
        <v>1059</v>
      </c>
      <c r="E286" s="976">
        <v>50101</v>
      </c>
      <c r="F286" s="976" t="s">
        <v>166</v>
      </c>
      <c r="H286" s="976" t="s">
        <v>1104</v>
      </c>
      <c r="J286" s="978" t="s">
        <v>1105</v>
      </c>
      <c r="N286" s="1" t="s">
        <v>1064</v>
      </c>
      <c r="O286" s="976" t="s">
        <v>1087</v>
      </c>
    </row>
    <row r="287" spans="2:15" ht="28.8">
      <c r="B287" s="1" t="s">
        <v>238</v>
      </c>
      <c r="C287" s="1">
        <v>2026</v>
      </c>
      <c r="D287" s="62" t="s">
        <v>1059</v>
      </c>
      <c r="E287" s="976">
        <v>50101</v>
      </c>
      <c r="F287" s="976" t="s">
        <v>166</v>
      </c>
      <c r="H287" s="976" t="s">
        <v>1106</v>
      </c>
      <c r="J287" s="978" t="s">
        <v>1107</v>
      </c>
      <c r="N287" s="1" t="s">
        <v>1064</v>
      </c>
      <c r="O287" s="976" t="s">
        <v>649</v>
      </c>
    </row>
    <row r="288" spans="2:15" ht="28.8">
      <c r="B288" s="1" t="s">
        <v>232</v>
      </c>
      <c r="C288" s="1">
        <v>2026</v>
      </c>
      <c r="D288" s="62" t="s">
        <v>1059</v>
      </c>
      <c r="E288" s="976">
        <v>50101</v>
      </c>
      <c r="F288" s="976" t="s">
        <v>166</v>
      </c>
      <c r="G288" s="1">
        <v>2</v>
      </c>
      <c r="H288" s="1" t="s">
        <v>1055</v>
      </c>
      <c r="J288" s="157" t="s">
        <v>1056</v>
      </c>
      <c r="K288" s="1" t="s">
        <v>1088</v>
      </c>
      <c r="N288" s="1" t="s">
        <v>1064</v>
      </c>
      <c r="O288" s="1" t="s">
        <v>1108</v>
      </c>
    </row>
    <row r="289" spans="2:16" ht="43.2">
      <c r="B289" s="1" t="s">
        <v>269</v>
      </c>
      <c r="C289" s="976">
        <v>2026</v>
      </c>
      <c r="D289" s="62" t="s">
        <v>1109</v>
      </c>
      <c r="E289" s="976">
        <v>50203</v>
      </c>
      <c r="F289" s="976" t="s">
        <v>1110</v>
      </c>
      <c r="H289" s="976" t="s">
        <v>1090</v>
      </c>
      <c r="J289" s="977" t="s">
        <v>646</v>
      </c>
      <c r="K289" s="977" t="s">
        <v>1111</v>
      </c>
      <c r="N289" s="977" t="s">
        <v>1112</v>
      </c>
      <c r="O289" s="976" t="s">
        <v>1113</v>
      </c>
    </row>
    <row r="290" spans="2:16" ht="129.6">
      <c r="B290" s="1" t="s">
        <v>269</v>
      </c>
      <c r="C290" s="976">
        <v>2026</v>
      </c>
      <c r="D290" s="62" t="s">
        <v>1109</v>
      </c>
      <c r="E290" s="976">
        <v>50203</v>
      </c>
      <c r="F290" s="976" t="s">
        <v>1110</v>
      </c>
      <c r="H290" s="976" t="s">
        <v>1114</v>
      </c>
      <c r="J290" s="977" t="s">
        <v>1115</v>
      </c>
      <c r="K290" s="977" t="s">
        <v>1116</v>
      </c>
      <c r="N290" s="977" t="s">
        <v>1112</v>
      </c>
      <c r="O290" s="976" t="s">
        <v>1117</v>
      </c>
    </row>
    <row r="291" spans="2:16" ht="129.6">
      <c r="B291" s="1" t="s">
        <v>269</v>
      </c>
      <c r="C291" s="976">
        <v>2026</v>
      </c>
      <c r="D291" s="62" t="s">
        <v>1109</v>
      </c>
      <c r="E291" s="976">
        <v>50203</v>
      </c>
      <c r="F291" s="976" t="s">
        <v>1110</v>
      </c>
      <c r="H291" s="976" t="s">
        <v>1118</v>
      </c>
      <c r="J291" s="976" t="s">
        <v>1119</v>
      </c>
      <c r="K291" s="976" t="s">
        <v>1116</v>
      </c>
      <c r="N291" s="977" t="s">
        <v>1112</v>
      </c>
      <c r="O291" s="976" t="s">
        <v>1120</v>
      </c>
    </row>
    <row r="292" spans="2:16" ht="72">
      <c r="B292" s="1" t="s">
        <v>269</v>
      </c>
      <c r="C292" s="976">
        <v>2026</v>
      </c>
      <c r="D292" s="62" t="s">
        <v>1109</v>
      </c>
      <c r="E292" s="976">
        <v>50203</v>
      </c>
      <c r="F292" s="976" t="s">
        <v>1110</v>
      </c>
      <c r="H292" s="277" t="s">
        <v>1121</v>
      </c>
      <c r="J292" s="976" t="s">
        <v>1069</v>
      </c>
      <c r="K292" s="976" t="s">
        <v>1122</v>
      </c>
      <c r="N292" s="977" t="s">
        <v>1112</v>
      </c>
      <c r="O292" s="976" t="s">
        <v>1123</v>
      </c>
    </row>
    <row r="293" spans="2:16" ht="86.4">
      <c r="B293" s="1" t="s">
        <v>269</v>
      </c>
      <c r="C293" s="976">
        <v>2026</v>
      </c>
      <c r="D293" s="62" t="s">
        <v>1109</v>
      </c>
      <c r="E293" s="976">
        <v>50203</v>
      </c>
      <c r="F293" s="976" t="s">
        <v>1110</v>
      </c>
      <c r="H293" s="976" t="s">
        <v>1124</v>
      </c>
      <c r="J293" s="976" t="s">
        <v>1125</v>
      </c>
      <c r="K293" s="976" t="s">
        <v>1126</v>
      </c>
      <c r="N293" s="977" t="s">
        <v>1112</v>
      </c>
      <c r="O293" s="976" t="s">
        <v>1127</v>
      </c>
    </row>
    <row r="294" spans="2:16" ht="86.4">
      <c r="B294" s="1" t="s">
        <v>269</v>
      </c>
      <c r="C294" s="976">
        <v>2026</v>
      </c>
      <c r="D294" s="62" t="s">
        <v>1109</v>
      </c>
      <c r="E294" s="976">
        <v>50203</v>
      </c>
      <c r="F294" s="976" t="s">
        <v>1110</v>
      </c>
      <c r="H294" s="976" t="s">
        <v>675</v>
      </c>
      <c r="J294" s="976" t="s">
        <v>1076</v>
      </c>
      <c r="K294" s="976" t="s">
        <v>678</v>
      </c>
      <c r="N294" s="977" t="s">
        <v>1112</v>
      </c>
      <c r="O294" s="976" t="s">
        <v>1128</v>
      </c>
    </row>
    <row r="295" spans="2:16" ht="43.2">
      <c r="B295" s="1" t="s">
        <v>269</v>
      </c>
      <c r="C295" s="976">
        <v>2026</v>
      </c>
      <c r="D295" s="62" t="s">
        <v>1109</v>
      </c>
      <c r="E295" s="976">
        <v>50203</v>
      </c>
      <c r="F295" s="976" t="s">
        <v>1110</v>
      </c>
      <c r="H295" s="976" t="s">
        <v>1129</v>
      </c>
      <c r="J295" s="976" t="s">
        <v>1130</v>
      </c>
      <c r="K295" s="976" t="s">
        <v>1131</v>
      </c>
      <c r="N295" s="977" t="s">
        <v>1112</v>
      </c>
      <c r="O295" s="976" t="s">
        <v>1132</v>
      </c>
    </row>
    <row r="296" spans="2:16" ht="43.2">
      <c r="B296" s="1" t="s">
        <v>269</v>
      </c>
      <c r="C296" s="976">
        <v>2026</v>
      </c>
      <c r="D296" s="62" t="s">
        <v>1109</v>
      </c>
      <c r="E296" s="976">
        <v>50203</v>
      </c>
      <c r="F296" s="976" t="s">
        <v>1110</v>
      </c>
      <c r="H296" s="976" t="s">
        <v>1133</v>
      </c>
      <c r="J296" s="976" t="s">
        <v>1102</v>
      </c>
      <c r="K296"/>
      <c r="N296" s="977" t="s">
        <v>1112</v>
      </c>
      <c r="O296" s="976" t="s">
        <v>1103</v>
      </c>
    </row>
    <row r="297" spans="2:16" ht="43.2">
      <c r="B297" s="1" t="s">
        <v>269</v>
      </c>
      <c r="C297" s="976">
        <v>2026</v>
      </c>
      <c r="D297" s="62" t="s">
        <v>1109</v>
      </c>
      <c r="E297" s="976">
        <v>50203</v>
      </c>
      <c r="F297" s="976" t="s">
        <v>1110</v>
      </c>
      <c r="H297" s="976" t="s">
        <v>1134</v>
      </c>
      <c r="J297" s="976" t="s">
        <v>688</v>
      </c>
      <c r="K297" s="976"/>
      <c r="N297" s="977" t="s">
        <v>1112</v>
      </c>
      <c r="O297" s="976" t="s">
        <v>1135</v>
      </c>
    </row>
    <row r="298" spans="2:16" ht="43.2">
      <c r="B298" s="1" t="s">
        <v>269</v>
      </c>
      <c r="C298" s="976">
        <v>2026</v>
      </c>
      <c r="D298" s="62" t="s">
        <v>1109</v>
      </c>
      <c r="E298" s="976">
        <v>50203</v>
      </c>
      <c r="F298" s="976" t="s">
        <v>1110</v>
      </c>
      <c r="H298" s="976" t="s">
        <v>1136</v>
      </c>
      <c r="J298" s="976"/>
      <c r="K298" s="976"/>
      <c r="N298" s="977" t="s">
        <v>1112</v>
      </c>
      <c r="O298" s="976" t="s">
        <v>1137</v>
      </c>
    </row>
    <row r="299" spans="2:16" ht="43.2">
      <c r="B299" s="1" t="s">
        <v>238</v>
      </c>
      <c r="C299" s="976">
        <v>2026</v>
      </c>
      <c r="D299" s="62" t="s">
        <v>1109</v>
      </c>
      <c r="E299" s="976">
        <v>50203</v>
      </c>
      <c r="F299" s="976" t="s">
        <v>1110</v>
      </c>
      <c r="H299" s="976" t="s">
        <v>1138</v>
      </c>
      <c r="I299" s="976" t="s">
        <v>1139</v>
      </c>
      <c r="J299" s="1">
        <v>40000</v>
      </c>
      <c r="N299" s="977" t="s">
        <v>1112</v>
      </c>
      <c r="O299" s="977" t="s">
        <v>1140</v>
      </c>
    </row>
    <row r="300" spans="2:16" ht="43.2">
      <c r="B300" s="1" t="s">
        <v>372</v>
      </c>
      <c r="C300" s="976">
        <v>2026</v>
      </c>
      <c r="D300" s="62" t="s">
        <v>1109</v>
      </c>
      <c r="E300" s="976">
        <v>50203</v>
      </c>
      <c r="F300" s="976" t="s">
        <v>1110</v>
      </c>
      <c r="G300" s="1">
        <v>2</v>
      </c>
      <c r="H300" s="976" t="s">
        <v>1141</v>
      </c>
      <c r="J300" s="1" t="s">
        <v>1056</v>
      </c>
      <c r="K300" s="1" t="s">
        <v>1142</v>
      </c>
      <c r="N300" s="977" t="s">
        <v>1112</v>
      </c>
      <c r="O300" s="976" t="s">
        <v>1143</v>
      </c>
    </row>
    <row r="301" spans="2:16" ht="115.2">
      <c r="C301" s="975">
        <v>2026</v>
      </c>
      <c r="D301" s="979" t="s">
        <v>1144</v>
      </c>
      <c r="E301" s="975">
        <v>30314</v>
      </c>
      <c r="F301" s="975" t="s">
        <v>1145</v>
      </c>
      <c r="G301" s="975">
        <v>1</v>
      </c>
      <c r="H301" s="975" t="s">
        <v>1146</v>
      </c>
      <c r="I301" s="975" t="s">
        <v>1147</v>
      </c>
      <c r="J301" s="975" t="s">
        <v>1148</v>
      </c>
      <c r="K301" s="1">
        <v>5</v>
      </c>
      <c r="N301" s="1" t="s">
        <v>1149</v>
      </c>
      <c r="O301" s="975" t="s">
        <v>1150</v>
      </c>
      <c r="P301" s="1" t="s">
        <v>936</v>
      </c>
    </row>
    <row r="302" spans="2:16" ht="187.2">
      <c r="C302" s="975">
        <v>2026</v>
      </c>
      <c r="D302" s="979" t="s">
        <v>1144</v>
      </c>
      <c r="E302" s="975">
        <v>30314</v>
      </c>
      <c r="F302" s="975" t="s">
        <v>1145</v>
      </c>
      <c r="G302" s="975">
        <v>2</v>
      </c>
      <c r="H302" s="975" t="s">
        <v>1151</v>
      </c>
      <c r="I302" s="975" t="s">
        <v>1152</v>
      </c>
      <c r="J302" s="975">
        <v>2000</v>
      </c>
      <c r="K302" s="1" t="s">
        <v>1153</v>
      </c>
      <c r="N302" s="1" t="s">
        <v>1149</v>
      </c>
      <c r="O302" s="278" t="s">
        <v>1154</v>
      </c>
      <c r="P302" s="1" t="s">
        <v>936</v>
      </c>
    </row>
    <row r="303" spans="2:16" ht="86.4">
      <c r="C303" s="975">
        <v>2026</v>
      </c>
      <c r="D303" s="979" t="s">
        <v>1144</v>
      </c>
      <c r="E303" s="975">
        <v>30314</v>
      </c>
      <c r="F303" s="975" t="s">
        <v>1145</v>
      </c>
      <c r="G303" s="975">
        <v>3</v>
      </c>
      <c r="H303" s="975" t="s">
        <v>1155</v>
      </c>
      <c r="I303" s="975" t="s">
        <v>1156</v>
      </c>
      <c r="J303" s="975" t="s">
        <v>1157</v>
      </c>
      <c r="N303" s="1" t="s">
        <v>1149</v>
      </c>
      <c r="O303" s="975" t="s">
        <v>1158</v>
      </c>
      <c r="P303" s="1" t="s">
        <v>936</v>
      </c>
    </row>
    <row r="304" spans="2:16" ht="28.2">
      <c r="B304" s="290" t="s">
        <v>402</v>
      </c>
      <c r="C304" s="290">
        <v>2026</v>
      </c>
      <c r="D304" s="290" t="s">
        <v>1159</v>
      </c>
      <c r="E304" s="290">
        <v>50400</v>
      </c>
      <c r="F304" s="291" t="s">
        <v>1160</v>
      </c>
      <c r="G304" s="290">
        <v>1</v>
      </c>
      <c r="H304" s="290" t="s">
        <v>1161</v>
      </c>
      <c r="I304" s="980"/>
      <c r="J304" s="290">
        <v>550000</v>
      </c>
      <c r="K304" s="981"/>
      <c r="L304" s="8"/>
      <c r="M304" s="8"/>
      <c r="N304" s="294" t="s">
        <v>1162</v>
      </c>
      <c r="O304" s="290" t="s">
        <v>1163</v>
      </c>
    </row>
    <row r="305" spans="2:15" ht="28.2">
      <c r="B305" s="290" t="s">
        <v>238</v>
      </c>
      <c r="C305" s="290">
        <v>2026</v>
      </c>
      <c r="D305" s="290" t="s">
        <v>1159</v>
      </c>
      <c r="E305" s="290">
        <v>50400</v>
      </c>
      <c r="F305" s="290" t="s">
        <v>1160</v>
      </c>
      <c r="G305" s="290">
        <v>2</v>
      </c>
      <c r="H305" s="290" t="s">
        <v>1164</v>
      </c>
      <c r="I305" s="292" t="s">
        <v>1165</v>
      </c>
      <c r="J305" s="290">
        <v>10000</v>
      </c>
      <c r="K305" s="293">
        <v>1</v>
      </c>
      <c r="L305" s="8">
        <f>J305*K305</f>
        <v>10000</v>
      </c>
      <c r="M305" s="8"/>
      <c r="N305" s="294" t="s">
        <v>1162</v>
      </c>
      <c r="O305" s="290" t="s">
        <v>1166</v>
      </c>
    </row>
    <row r="306" spans="2:15" ht="28.2">
      <c r="B306" s="290" t="s">
        <v>238</v>
      </c>
      <c r="C306" s="290">
        <v>2026</v>
      </c>
      <c r="D306" s="290" t="s">
        <v>1159</v>
      </c>
      <c r="E306" s="290">
        <v>50400</v>
      </c>
      <c r="F306" s="295" t="s">
        <v>1160</v>
      </c>
      <c r="G306" s="295">
        <v>2</v>
      </c>
      <c r="H306" s="295" t="s">
        <v>1164</v>
      </c>
      <c r="I306" s="296" t="s">
        <v>1165</v>
      </c>
      <c r="J306" s="295">
        <v>12000</v>
      </c>
      <c r="K306" s="297">
        <v>1</v>
      </c>
      <c r="L306" s="8">
        <f t="shared" ref="L306:L308" si="6">J306*K306</f>
        <v>12000</v>
      </c>
      <c r="M306" s="281"/>
      <c r="N306" s="298" t="s">
        <v>1162</v>
      </c>
      <c r="O306" s="290" t="s">
        <v>1167</v>
      </c>
    </row>
    <row r="307" spans="2:15" ht="28.2">
      <c r="B307" s="290" t="s">
        <v>238</v>
      </c>
      <c r="C307" s="290">
        <v>2026</v>
      </c>
      <c r="D307" s="290" t="s">
        <v>1159</v>
      </c>
      <c r="E307" s="293">
        <v>50400</v>
      </c>
      <c r="F307" s="982" t="s">
        <v>1160</v>
      </c>
      <c r="G307" s="982">
        <v>2</v>
      </c>
      <c r="H307" s="982" t="s">
        <v>1164</v>
      </c>
      <c r="I307" s="983" t="s">
        <v>1165</v>
      </c>
      <c r="J307" s="982">
        <v>2000</v>
      </c>
      <c r="K307" s="982">
        <v>4</v>
      </c>
      <c r="L307" s="8">
        <f t="shared" si="6"/>
        <v>8000</v>
      </c>
      <c r="M307" s="8"/>
      <c r="N307" s="982" t="s">
        <v>1162</v>
      </c>
      <c r="O307" s="294" t="s">
        <v>1168</v>
      </c>
    </row>
    <row r="308" spans="2:15" ht="28.2">
      <c r="B308" s="290" t="s">
        <v>238</v>
      </c>
      <c r="C308" s="290">
        <v>2026</v>
      </c>
      <c r="D308" s="290" t="s">
        <v>1159</v>
      </c>
      <c r="E308" s="293">
        <v>50400</v>
      </c>
      <c r="F308" s="982" t="s">
        <v>1160</v>
      </c>
      <c r="G308" s="982">
        <v>2</v>
      </c>
      <c r="H308" s="982" t="s">
        <v>1164</v>
      </c>
      <c r="I308" s="983" t="s">
        <v>1165</v>
      </c>
      <c r="J308" s="982">
        <v>1250</v>
      </c>
      <c r="K308" s="982">
        <v>8</v>
      </c>
      <c r="L308" s="8">
        <f t="shared" si="6"/>
        <v>10000</v>
      </c>
      <c r="M308" s="8"/>
      <c r="N308" s="982" t="s">
        <v>1162</v>
      </c>
      <c r="O308" s="294" t="s">
        <v>1169</v>
      </c>
    </row>
    <row r="309" spans="2:15" ht="14.4">
      <c r="G309" s="107"/>
      <c r="H309" s="107"/>
      <c r="I309" s="103"/>
      <c r="J309" s="107"/>
      <c r="K309" s="107"/>
      <c r="L309" s="1">
        <f>SUBTOTAL(9,L37:L308)</f>
        <v>3093694</v>
      </c>
    </row>
    <row r="310" spans="2:15">
      <c r="L310" s="1">
        <f>L90+L91+L92+L93+L95+L98</f>
        <v>194320</v>
      </c>
    </row>
    <row r="312" spans="2:15">
      <c r="J312" s="3"/>
    </row>
  </sheetData>
  <autoFilter ref="A1:AB310" xr:uid="{EA833BA7-7AA5-40D6-8115-CEDE5EA53D93}"/>
  <hyperlinks>
    <hyperlink ref="D2" r:id="rId1" xr:uid="{061143F7-99CC-42D0-8FEB-CCC35133B3F0}"/>
    <hyperlink ref="D3" r:id="rId2" xr:uid="{8B3199CC-7245-4641-AB20-F90D20F8DB40}"/>
    <hyperlink ref="D4" r:id="rId3" xr:uid="{953230BB-D9D6-4DB1-A706-B8730BCB5640}"/>
    <hyperlink ref="D5" r:id="rId4" xr:uid="{586509D5-8BEF-4C9D-94FC-A9A435A3236A}"/>
    <hyperlink ref="D6" r:id="rId5" xr:uid="{0E59EAF5-3187-4BCC-9DFE-25D6475D8B67}"/>
    <hyperlink ref="D7" r:id="rId6" xr:uid="{A4BAA6FD-A70A-4016-AE4A-DDE66A226DAE}"/>
    <hyperlink ref="D8" r:id="rId7" xr:uid="{D5D93350-20E3-4A4F-AB08-F95B4FFFA5E3}"/>
    <hyperlink ref="D9" r:id="rId8" xr:uid="{55E2F7D3-0D88-46DC-BC6D-3D350B08A44C}"/>
    <hyperlink ref="D14:D18" r:id="rId9" display="david.fesl@avu.cz" xr:uid="{00D16B5F-0884-40C5-BAC4-F2B2C0065262}"/>
    <hyperlink ref="D19:D30" r:id="rId10" display="david.fesl@avu.cz" xr:uid="{834EB60F-41DB-46F8-B237-37EBF9B8FF84}"/>
    <hyperlink ref="D37" r:id="rId11" xr:uid="{0F090D62-A36C-4B01-ABE3-0EADC2366708}"/>
    <hyperlink ref="D45" r:id="rId12" display="mailto:k.cozlovacmolikova@avu.cz" xr:uid="{F0FADAFC-0184-484B-89A4-EDB10FE8DF40}"/>
    <hyperlink ref="D46" r:id="rId13" display="mailto:k.cozlovacmolikova@avu.cz" xr:uid="{097CB9F0-0EAC-46B9-AF2F-829A9C8836D9}"/>
    <hyperlink ref="D47" r:id="rId14" display="mailto:k.cozlovacmolikova@avu.cz" xr:uid="{3831686C-6DA9-4397-A856-7762815FC506}"/>
    <hyperlink ref="D48" r:id="rId15" display="mailto:k.cozlovacmolikova@avu.cz" xr:uid="{B0EAAA0A-FF48-4F2C-AFD6-F9D85CC4BC1C}"/>
    <hyperlink ref="D49" r:id="rId16" display="mailto:k.cozlovacmolikova@avu.cz" xr:uid="{44C0A7C5-E406-47E3-96E4-18E7DE1632B0}"/>
    <hyperlink ref="D50" r:id="rId17" display="mailto:k.cozlovacmolikova@avu.cz" xr:uid="{377DF47B-9DFC-4318-995E-E6E86D523782}"/>
    <hyperlink ref="D51" r:id="rId18" display="mailto:k.cozlovacmolikova@avu.cz" xr:uid="{4536DCF1-DAB3-428E-8433-000AFF2F4CFD}"/>
    <hyperlink ref="D52" r:id="rId19" display="mailto:k.cozlovacmolikova@avu.cz" xr:uid="{EDF11D6A-B354-4C55-9724-4CE1E0CCF882}"/>
    <hyperlink ref="D53" r:id="rId20" display="mailto:k.cozlovacmolikova@avu.cz" xr:uid="{EE73D3D0-E398-4BC4-9C86-48B39C2BE16F}"/>
    <hyperlink ref="D54" r:id="rId21" display="mailto:k.cozlovacmolikova@avu.cz" xr:uid="{0BD50CB4-D413-45A1-9ED3-66A067C62098}"/>
    <hyperlink ref="D55" r:id="rId22" display="mailto:k.cozlovacmolikova@avu.cz" xr:uid="{7E5567ED-5CC7-4C4F-A037-47747598CAC1}"/>
    <hyperlink ref="D56" r:id="rId23" display="mailto:k.cozlovacmolikova@avu.cz" xr:uid="{BC237178-C08B-4525-B481-241460E38C04}"/>
    <hyperlink ref="D57" r:id="rId24" display="mailto:k.cozlovacmolikova@avu.cz" xr:uid="{84E0E83E-0814-448C-882B-2119950222B1}"/>
    <hyperlink ref="D58" r:id="rId25" display="mailto:k.cozlovacmolikova@avu.cz" xr:uid="{EEEBB65F-596A-46C4-A206-10F3649C570B}"/>
    <hyperlink ref="D59" r:id="rId26" display="mailto:k.cozlovacmolikova@avu.cz" xr:uid="{D7BD73D3-4796-403E-8F79-B55DD677396A}"/>
    <hyperlink ref="D60" r:id="rId27" display="mailto:marcela.mensikova@avu.cz" xr:uid="{F4C17BDF-40D5-4A10-AF77-6BAD0C5DC17A}"/>
    <hyperlink ref="D61" r:id="rId28" display="mailto:marcela.mensikova@avu.cz" xr:uid="{3C04A343-BF94-49DC-A040-362E0E489016}"/>
    <hyperlink ref="D62" r:id="rId29" display="mailto:marcela.mensikova@avu.cz" xr:uid="{272FAEB2-986F-4E89-A373-B4A63E3E7EAC}"/>
    <hyperlink ref="D63" r:id="rId30" display="mailto:marcela.mensikova@avu.cz" xr:uid="{A2617749-521B-42D6-8586-E21B3BEB9938}"/>
    <hyperlink ref="D64" r:id="rId31" display="mailto:radim.langer@avu.cz" xr:uid="{ECC6027F-C5DB-46AF-B146-20B2BA1916CD}"/>
    <hyperlink ref="D65" r:id="rId32" display="mailto:radim.langer@avu.cz" xr:uid="{4E976701-088D-4FF1-A914-3563B0E6BB4A}"/>
    <hyperlink ref="D66" r:id="rId33" display="mailto:psycholog@avu.cz" xr:uid="{BBC7EDDD-321C-4E34-8E26-49BDCD7427B4}"/>
    <hyperlink ref="D67" r:id="rId34" display="mailto:vlasta.elmerova@avu.cz" xr:uid="{06375FF7-2475-46E8-82FC-12111793DCBD}"/>
    <hyperlink ref="D68" r:id="rId35" display="mailto:vlasta.elmerova@avu.cz" xr:uid="{F29F3A23-AB23-43DE-A782-9BA6A0AFEDC7}"/>
    <hyperlink ref="D69" r:id="rId36" display="mailto:vlasta.elmerova@avu.cz" xr:uid="{3C41EEFF-782C-4759-A3C1-28DDC651447B}"/>
    <hyperlink ref="D70" r:id="rId37" display="mailto:vlasta.elmerova@avu.cz" xr:uid="{50BCC6DE-B3F9-4FDC-A8A3-07D601209B78}"/>
    <hyperlink ref="D71" r:id="rId38" display="mailto:vlasta.elmerova@avu.cz" xr:uid="{864BBDD7-DFBB-45E5-BA8E-2E3D6FF972F8}"/>
    <hyperlink ref="D72" r:id="rId39" display="mailto:vlasta.elmerova@avu.cz" xr:uid="{1C628810-2310-4C05-B713-9B5A78928D88}"/>
    <hyperlink ref="D73" r:id="rId40" display="mailto:vlasta.elmerova@avu.cz" xr:uid="{92259B0A-B6C7-42D7-99D8-6BBAE11B9FF9}"/>
    <hyperlink ref="D74" r:id="rId41" display="mailto:vlasta.elmerova@avu.cz" xr:uid="{F6526D35-3A34-478C-9B69-BB5FDE9427FE}"/>
    <hyperlink ref="D75" r:id="rId42" display="mailto:vlasta.elmerova@avu.cz" xr:uid="{17EB0666-4EBC-455D-8F80-785AA875A6D9}"/>
    <hyperlink ref="D76" r:id="rId43" display="mailto:vlasta.elmerova@avu.cz" xr:uid="{7458A327-9F56-48A6-962B-A7D17E615030}"/>
    <hyperlink ref="D77" r:id="rId44" display="mailto:vlasta.elmerova@avu.cz" xr:uid="{8FC4DFE5-286A-48FE-A51E-967FB3EDB2D4}"/>
    <hyperlink ref="D78" r:id="rId45" display="mailto:vlasta.elmerova@avu.cz" xr:uid="{A5BF66F1-B037-413C-8E77-A042E4B6E800}"/>
    <hyperlink ref="D79" r:id="rId46" display="mailto:vlasta.elmerova@avu.cz" xr:uid="{E2ABC9F1-DA9B-455A-B9E7-03331746FA4A}"/>
    <hyperlink ref="D80" r:id="rId47" display="mailto:vlasta.elmerova@avu.cz" xr:uid="{8F68C0F2-88C8-4A21-AEBD-4CBCF8C5D9B7}"/>
    <hyperlink ref="D81" r:id="rId48" display="mailto:vlasta.elmerova@avu.cz" xr:uid="{34C7B9DB-FC89-4AF1-A9C9-6A117DD72F55}"/>
    <hyperlink ref="D82" r:id="rId49" display="mailto:vlasta.elmerova@avu.cz" xr:uid="{BE3A8A4D-96C3-40CB-90DD-E1E4E3C56AF0}"/>
    <hyperlink ref="D83" r:id="rId50" display="mailto:vlasta.elmerova@avu.cz" xr:uid="{42EB5792-0BC5-4D49-B51F-08B532F4167C}"/>
    <hyperlink ref="D84" r:id="rId51" display="mailto:vlasta.elmerova@avu.cz" xr:uid="{C5635919-0D1F-4E00-B2D9-DC2B00B36FD1}"/>
    <hyperlink ref="D85" r:id="rId52" display="mailto:vlasta.elmerova@avu.cz" xr:uid="{33A95F58-83BB-448E-A217-617B27742563}"/>
    <hyperlink ref="D86" r:id="rId53" display="mailto:adam.pokorny@avu.cz" xr:uid="{802F8614-FB9D-4C4C-8E75-F10AC1ACD00B}"/>
    <hyperlink ref="D87" r:id="rId54" display="mailto:adam.pokorny@avu.cz" xr:uid="{0D45397E-CA2A-4018-ABCA-50E20F1535AC}"/>
    <hyperlink ref="D88" r:id="rId55" display="mailto:stepanka.kuckova@avu.cz" xr:uid="{C5742750-9FF0-4084-A929-B955055510A2}"/>
    <hyperlink ref="D89" r:id="rId56" display="mailto:stepanka.kuckova@avu.cz" xr:uid="{968E2FB5-2167-47F6-9B80-A60ED7DEE6A7}"/>
    <hyperlink ref="D90" r:id="rId57" display="mailto:tereza.jurczykova@avu.cz" xr:uid="{9AED7C21-F49B-4386-BC3A-9A51BCE7D456}"/>
    <hyperlink ref="D91" r:id="rId58" display="mailto:adam.pokorny@avu.cz" xr:uid="{94054AF1-B15B-4D8B-871D-491F25ECC255}"/>
    <hyperlink ref="D92" r:id="rId59" display="mailto:adam.pokorny@avu.cz" xr:uid="{FB1B79C1-CA0E-402F-BB7B-256A4E8CEB9F}"/>
    <hyperlink ref="D93" r:id="rId60" display="mailto:tereza.jurczykova@avu.cz" xr:uid="{E37670F7-1F55-4365-ABC5-1A4AFA3CB3BC}"/>
    <hyperlink ref="D94" r:id="rId61" display="mailto:tereza.jurczykova@avu.cz" xr:uid="{2AD32319-0157-47E5-866E-C14C4681C26F}"/>
    <hyperlink ref="D95" r:id="rId62" display="mailto:tereza.jurczykova@avu.cz" xr:uid="{0EC90203-65E6-4B02-969F-E41B299D92BB}"/>
    <hyperlink ref="D98" r:id="rId63" display="mailto:denisa.cirmaciova@avu.cz" xr:uid="{5879B1AD-42A0-4094-8D34-A84853319FD9}"/>
    <hyperlink ref="D99" r:id="rId64" display="mailto:theodora.popova@avu.cz" xr:uid="{1A2931A2-708C-43DE-9C7D-BC13404BC3DD}"/>
    <hyperlink ref="D102" r:id="rId65" display="mailto:stepanka.kuckova@avu.cz" xr:uid="{04659B0C-C670-4EA2-ACCD-451E1B4183C9}"/>
    <hyperlink ref="D103" r:id="rId66" display="mailto:dunja.stevanovic@avu.cz" xr:uid="{3E7157A1-3E55-40DD-A7E2-6B6826B1D421}"/>
    <hyperlink ref="D104" r:id="rId67" display="mailto:dunja.stevanovic@avu.cz" xr:uid="{CC63B0FE-B11C-4882-94A8-1CF050F1240B}"/>
    <hyperlink ref="D105" r:id="rId68" display="mailto:dunja.stevanovic@avu.cz" xr:uid="{BB4826FE-0076-4288-A9EE-73A4FC30164C}"/>
    <hyperlink ref="D106" r:id="rId69" display="mailto:dunja.stevanovic@avu.cz" xr:uid="{BCFDE0D8-58B2-4452-BE74-FDFB15672AD8}"/>
    <hyperlink ref="D107" r:id="rId70" display="mailto:dunja.stevanovic@avu.cz" xr:uid="{669E6EAC-4728-4349-831F-1C8B61F10106}"/>
    <hyperlink ref="D108" r:id="rId71" display="mailto:dunja.stevanovic@avu.cz" xr:uid="{19DA6DC6-8392-4564-B2EC-B1776358343E}"/>
    <hyperlink ref="D109" r:id="rId72" display="mailto:dunja.stevanovic@avu.cz" xr:uid="{28C82A37-8483-4EF0-8064-B7E1876A7509}"/>
    <hyperlink ref="D110" r:id="rId73" display="mailto:dunja.stevanovic@avu.cz" xr:uid="{195C7162-B257-478C-BCC7-976164EEFEE4}"/>
    <hyperlink ref="D111" r:id="rId74" display="mailto:dunja.stevanovic@avu.cz" xr:uid="{D1727CE9-B13D-44DA-A8E8-76A42EA6BE66}"/>
    <hyperlink ref="D112" r:id="rId75" display="mailto:dunja.stevanovic@avu.cz" xr:uid="{626EC494-E535-40A5-BF4B-60A82AF4F602}"/>
    <hyperlink ref="D113" r:id="rId76" display="mailto:dunja.stevanovic@avu.cz" xr:uid="{BEA40139-1F7E-4F84-A98E-6026ABF70D6D}"/>
    <hyperlink ref="D114" r:id="rId77" display="mailto:dunja.stevanovic@avu.cz" xr:uid="{8C3C1565-44FD-4E01-A5A3-5268613AF71D}"/>
    <hyperlink ref="D115" r:id="rId78" display="mailto:dunja.stevanovic@avu.cz" xr:uid="{60572964-796C-40EF-86AA-4500C7F950FF}"/>
    <hyperlink ref="D116" r:id="rId79" display="mailto:dunja.stevanovic@avu.cz" xr:uid="{EBC11A0E-A107-439E-B5C0-A1F62A39D16D}"/>
    <hyperlink ref="D117" r:id="rId80" display="mailto:dunja.stevanovic@avu.cz" xr:uid="{E467A62D-F3EC-40DE-8E87-B86087645A4D}"/>
    <hyperlink ref="D118" r:id="rId81" display="mailto:dunja.stevanovic@avu.cz" xr:uid="{D6A538B4-78BB-4117-9E27-DAEEF79BB819}"/>
    <hyperlink ref="D119" r:id="rId82" display="mailto:dunja.stevanovic@avu.cz" xr:uid="{A8AEB723-3B7B-4D41-98A1-902816719C0D}"/>
    <hyperlink ref="D120" r:id="rId83" display="mailto:dunja.stevanovic@avu.cz" xr:uid="{09C99507-2001-484F-898D-D11CC2D342AA}"/>
    <hyperlink ref="D121" r:id="rId84" display="mailto:dunja.stevanovic@avu.cz" xr:uid="{09EFD2FE-64C2-4678-A39C-558305E671DA}"/>
    <hyperlink ref="D122" r:id="rId85" display="mailto:dunja.stevanovic@avu.cz" xr:uid="{34AC98B8-AE10-407A-BAD3-0B2003857737}"/>
    <hyperlink ref="D123" r:id="rId86" display="mailto:dunja.stevanovic@avu.cz" xr:uid="{46CB7B03-7A95-485B-B0E7-ABA308C7102C}"/>
    <hyperlink ref="D124" r:id="rId87" display="mailto:dunja.stevanovic@avu.cz" xr:uid="{3267F645-C4AD-4A50-9342-638ABF46B05E}"/>
    <hyperlink ref="D125" r:id="rId88" display="mailto:dunja.stevanovic@avu.cz" xr:uid="{4614359B-BE13-49F1-B0F6-2EABBD471F47}"/>
    <hyperlink ref="D126" r:id="rId89" display="mailto:dunja.stevanovic@avu.cz" xr:uid="{280A598F-BE5E-4515-B171-9FBCBE075715}"/>
    <hyperlink ref="D127" r:id="rId90" display="mailto:dunja.stevanovic@avu.cz" xr:uid="{078B8DC9-81CA-4703-9A49-8B33AA1DD811}"/>
    <hyperlink ref="D128" r:id="rId91" display="mailto:dunja.stevanovic@avu.cz" xr:uid="{2942B895-9EE9-47AD-A5C1-0D6FCAD76DA2}"/>
    <hyperlink ref="D129" r:id="rId92" display="mailto:dunja.stevanovic@avu.cz" xr:uid="{D5029E96-B3A9-4386-9BFC-3B48006812EF}"/>
    <hyperlink ref="D130" r:id="rId93" display="mailto:dunja.stevanovic@avu.cz" xr:uid="{D43AA6C7-3854-43A1-908D-A018A4A0EEB9}"/>
    <hyperlink ref="D131" r:id="rId94" display="mailto:dunja.stevanovic@avu.cz" xr:uid="{9DB5E90D-56ED-4B8C-838D-D1DE811CC554}"/>
    <hyperlink ref="D132" r:id="rId95" display="mailto:dunja.stevanovic@avu.cz" xr:uid="{9E631CCA-873E-4723-8027-250CE67F72F9}"/>
    <hyperlink ref="D134" r:id="rId96" display="mailto:dunja.stevanovic@avu.cz" xr:uid="{838AF2A7-E9C0-431B-BDBA-ECFEF16E9C14}"/>
    <hyperlink ref="D135" r:id="rId97" display="mailto:dunja.stevanovic@avu.cz" xr:uid="{A18064FD-469B-47B8-A22F-A1278E7F770C}"/>
    <hyperlink ref="D137" r:id="rId98" display="mailto:dunja.stevanovic@avu.cz" xr:uid="{4743C9FE-F187-463E-8801-1EFA01D433B8}"/>
    <hyperlink ref="D138" r:id="rId99" display="mailto:dunja.stevanovic@avu.cz" xr:uid="{459CC4B0-1507-4935-B343-E8EBDF09C268}"/>
    <hyperlink ref="P107" r:id="rId100" xr:uid="{E78E5C49-D986-4E4C-ADFF-C25EBAFA5DA2}"/>
    <hyperlink ref="P108" r:id="rId101" xr:uid="{7A75A2BE-B16E-4B3F-B3F1-168378A7967F}"/>
    <hyperlink ref="P109" r:id="rId102" xr:uid="{04BD28BA-B753-499E-999E-800E9DCD55D7}"/>
    <hyperlink ref="P110" r:id="rId103" xr:uid="{F062C245-C3D6-4635-AAD1-0A105C3DEC36}"/>
    <hyperlink ref="P112" r:id="rId104" display="http://www.lepidla-eshop.cz/z626-lc-bond-09-200g" xr:uid="{C9286A5B-71E1-497C-9A02-2D8A31DAB2B3}"/>
    <hyperlink ref="P113" r:id="rId105" display="http://www.lepidla-eshop.cz/z4-belzona-2111-d-a-hi-build-elastomer-0-5-kg" xr:uid="{C03CE85C-EBCF-4CA9-B7EC-4CDB01C963EE}"/>
    <hyperlink ref="P115" r:id="rId106" xr:uid="{0E32FE17-DF70-47F6-BAA2-D479543DA1A6}"/>
    <hyperlink ref="P119" r:id="rId107" xr:uid="{23273306-D34C-4757-A7A3-EACD7A8F79C8}"/>
    <hyperlink ref="P121" r:id="rId108" xr:uid="{A320CF79-ED3C-43B3-BD9E-D07FE783A997}"/>
    <hyperlink ref="P122" r:id="rId109" xr:uid="{4950928A-FC1B-4A83-A30F-A3F8D76D9DD3}"/>
    <hyperlink ref="P123" r:id="rId110" location=":~:text=Charakteristika%20Acrystalu:%20*%20netoxick%C3%BD%20*%20univerz%C3%A1ln%C3%AD(lit%C3%AD%2Claminov%C3%A1n%C3%AD)%20*,snadno%20obrobiteln%C3%A9%20*%20omyvateln%C3%BD%20a%20%C5%99editeln%C3%BD%20vodou." display="https://skolil.cz/art/31-acrystal-levny-material-s-tvrdym-povrchem/acrystal/126-acrystal- - :~:text=Charakteristika%20Acrystalu:%20*%20netoxick%C3%BD%20*%20univerz%C3%A1ln%C3%AD(lit%C3%AD%2Claminov%C3%A1n%C3%AD)%20*,snadno%20obrobiteln%C3%A9%20*%20omyvateln%C3%BD%20a%20%C5%99editeln%C3%BD%20vodou." xr:uid="{283699FA-A809-40E8-ABA6-7E121538AF86}"/>
    <hyperlink ref="P124" r:id="rId111" xr:uid="{3278C21E-2F4C-43DA-A0E6-CE99B13BFDE3}"/>
    <hyperlink ref="P125" r:id="rId112" xr:uid="{C85DD9EF-43F2-4E60-99D6-C4179C2237F6}"/>
    <hyperlink ref="P128" r:id="rId113" xr:uid="{19880A26-D74E-474C-ACE7-2A3D5DC0F245}"/>
    <hyperlink ref="P129" r:id="rId114" xr:uid="{F98A00D4-325C-4EBB-B152-A218B4CCF157}"/>
    <hyperlink ref="P130" r:id="rId115" display="https://www.3market.cz/6059-filtr-abek1-k-maskam-rady-6000-proti-organickym--anorganickym-a-kyselym-param--cena-za-ks/?gad_source=1&amp;gad_campaignid=18353489461&amp;gbraid=0AAAAAC_t9hAKtvJQsODpWZKSjzumrOglf&amp;gclid=Cj0KCQiAm9fLBhCQARIsAJoNOcuFdea5Hp1uUKeoYPv9tugTFBri_WBfDUCXUIFVq2ZwzKspcMTOeXgaAvCWEALw_wcB" xr:uid="{A6504A64-D241-448E-A08E-C13E40354BF7}"/>
    <hyperlink ref="P131" r:id="rId116" xr:uid="{CCF93584-535A-4DE8-8798-235A7190B23B}"/>
    <hyperlink ref="P132" r:id="rId117" display="https://www.kaiserkraft.cz/bezpecnost-prace/pracovni-rukavice/nitrilove-jednorazove-rukavice-safe-light/cerna/p/M5697261/?utm_source=google&amp;utm_medium=cpc&amp;utm_campaign=PM_Jarvis-7-10&amp;utm_content=&amp;utm_term=&amp;infinity=ict2~net~gaw~cmp~PM_Jarvis-7-10~ag~~ar~~kw~~mt~&amp;gad_source=1&amp;gad_campaignid=21172657398&amp;gbraid=0AAAAADy0HkUtcpx5MhBevm9992fH1Z-m3&amp;gclid=Cj0KCQiAm9fLBhCQARIsAJoNOctcvlkxbqyNY99rOfk3GxtfTezi_0nNAA8qHEUeuP08aV-1Zd-uXcUaApu0EALw_wcB" xr:uid="{C98E21F3-07DC-4E7F-BA1B-1B038D116A57}"/>
    <hyperlink ref="D139" r:id="rId118" display="mailto:marketa.dolejsova@avu.cz" xr:uid="{BF54E422-9567-4FC4-BBE0-C3AB1D32E524}"/>
    <hyperlink ref="D140" r:id="rId119" display="mailto:marketa.dolejsova@avu.cz" xr:uid="{383DAE72-5AED-498F-8505-282C740740F3}"/>
    <hyperlink ref="D141" r:id="rId120" display="mailto:marketa.dolejsova@avu.cz" xr:uid="{3D27060E-4E64-4F3E-9040-309578EB6B72}"/>
    <hyperlink ref="D142" r:id="rId121" display="mailto:marketa.dolejsova@avu.cz" xr:uid="{158533D7-63F7-4E46-A3D6-71B228A55E23}"/>
    <hyperlink ref="D143" r:id="rId122" display="mailto:marketa.dolejsova@avu.cz" xr:uid="{59830D6D-3F5B-446E-A763-F73E7F7B7779}"/>
    <hyperlink ref="D144" r:id="rId123" display="mailto:marketa.dolejsova@avu.cz" xr:uid="{BBE32CA5-C4D8-42E1-8A72-D8EBB9F210B5}"/>
    <hyperlink ref="D145" r:id="rId124" display="mailto:marketa.dolejsova@avu.cz" xr:uid="{E927499B-996F-441B-ADA7-34D5997F31E0}"/>
    <hyperlink ref="D146" r:id="rId125" display="mailto:marketa.dolejsova@avu.cz" xr:uid="{B6693AC5-4C90-42EB-ABB0-F05F24D84235}"/>
    <hyperlink ref="D147" r:id="rId126" display="mailto:marketa.dolejsova@avu.cz" xr:uid="{65ACA3BE-AC7E-4DDC-B51D-6F4FAA935E54}"/>
    <hyperlink ref="D148" r:id="rId127" display="mailto:marketa.dolejsova@avu.cz" xr:uid="{A51ACFDA-F47E-4FF7-8C23-9D21EE07C062}"/>
    <hyperlink ref="D149" r:id="rId128" display="mailto:marketa.dolejsova@avu.cz" xr:uid="{3522A0E9-F090-44B0-91B9-C6D6F1F011E4}"/>
    <hyperlink ref="D150" r:id="rId129" display="mailto:marketa.dolejsova@avu.cz" xr:uid="{CBDD8EF3-5744-454D-B099-B24DF9C2448B}"/>
    <hyperlink ref="D151" r:id="rId130" display="mailto:marketa.dolejsova@avu.cz" xr:uid="{985EBD8B-15D6-4215-B430-0269D44099A9}"/>
    <hyperlink ref="D152" r:id="rId131" display="mailto:marketa.dolejsova@avu.cz" xr:uid="{0F9ECC35-F719-455D-BD27-EA5D3F297F06}"/>
    <hyperlink ref="D153" r:id="rId132" display="mailto:marketa.dolejsova@avu.cz" xr:uid="{3E2AE06D-6560-4EB7-BAF0-21F6335439F5}"/>
    <hyperlink ref="D154" r:id="rId133" display="mailto:marketa.dolejsova@avu.cz" xr:uid="{79338ED5-663F-49A5-BB71-9671B0919400}"/>
    <hyperlink ref="D155" r:id="rId134" display="mailto:marketa.dolejsova@avu.cz" xr:uid="{504120CC-FA7D-4C3F-9C89-B7E9F66285E6}"/>
    <hyperlink ref="D156" r:id="rId135" xr:uid="{A30C434E-283D-4787-BDD1-36475B8B9323}"/>
    <hyperlink ref="D157:D168" r:id="rId136" display="jana.dolezalova@avu.cz" xr:uid="{7EA5CD99-3142-4E6F-95FB-C2F9EAC997A7}"/>
    <hyperlink ref="D169:D170" r:id="rId137" display="jana.dolezalova@avu.cz" xr:uid="{607D14EB-9620-456C-86B6-DAC7C3B3A7D9}"/>
    <hyperlink ref="D171" r:id="rId138" xr:uid="{6849E1FD-A42A-4676-9337-3CC73A6150AB}"/>
    <hyperlink ref="D172" r:id="rId139" xr:uid="{752592FD-F1E0-4AFD-B332-20CC165FFCEF}"/>
    <hyperlink ref="D173" r:id="rId140" xr:uid="{693C6867-9B92-49DA-8A16-1C31FEE964FB}"/>
    <hyperlink ref="D174" r:id="rId141" xr:uid="{1E23CB86-634C-414D-80DF-A500B58F5A29}"/>
    <hyperlink ref="D175" r:id="rId142" xr:uid="{460E5158-6CE2-4351-A2CF-43EB06778D41}"/>
    <hyperlink ref="D176" r:id="rId143" xr:uid="{B004053D-20E6-4AD6-BB92-475C7229F1CC}"/>
    <hyperlink ref="D177" r:id="rId144" xr:uid="{07186562-824A-4E4B-92CC-B9DC20C169BE}"/>
    <hyperlink ref="D178" r:id="rId145" xr:uid="{144DD243-9783-4901-B8D7-FD80D8DAE220}"/>
    <hyperlink ref="D179" r:id="rId146" xr:uid="{327F10E9-C116-4EBA-B266-4EA9A6046DEF}"/>
    <hyperlink ref="D180" r:id="rId147" xr:uid="{32D0DFFC-B0F3-4910-9A58-59317B5A4335}"/>
    <hyperlink ref="D181" r:id="rId148" xr:uid="{97A52B87-D90D-427D-9DB7-E432C0E83BB3}"/>
    <hyperlink ref="D196" r:id="rId149" xr:uid="{EF50A2E8-2A4A-40EA-958A-51DDEE885163}"/>
    <hyperlink ref="D197" r:id="rId150" xr:uid="{DAA8F3EF-2989-4484-8B9C-0A95ED090135}"/>
    <hyperlink ref="D198" r:id="rId151" xr:uid="{11E181DE-95C9-403A-B4CE-EF659458F41D}"/>
    <hyperlink ref="D199" r:id="rId152" xr:uid="{56A2C202-5659-4A8E-A572-C7A975F45F31}"/>
    <hyperlink ref="D200" r:id="rId153" xr:uid="{B5832508-9B0F-4A43-8DB2-A8496FD9CEF4}"/>
    <hyperlink ref="D201" r:id="rId154" xr:uid="{82CC25D3-2E6D-4872-8E8F-29AAE4672FE8}"/>
    <hyperlink ref="D202" r:id="rId155" xr:uid="{2B5FE478-FC7A-4384-97CE-2448F4C06F4E}"/>
    <hyperlink ref="D203:D204" r:id="rId156" display="jana.jensovska@avu.cz" xr:uid="{7860E6CF-CFAD-4D75-99FA-146F469C1682}"/>
    <hyperlink ref="D205" r:id="rId157" display="mailto:andrea.janderova@avu.cz" xr:uid="{D7630937-6F00-43C9-913F-6F151D73EA5D}"/>
    <hyperlink ref="D206" r:id="rId158" display="mailto:andrea.janderova@avu.cz" xr:uid="{9E0009D8-B896-49DB-90AB-6BA6FB4F7651}"/>
    <hyperlink ref="D207" r:id="rId159" display="mailto:andrea.janderova@avu.cz" xr:uid="{9A51AF20-2F13-4916-B354-A860B5C11142}"/>
    <hyperlink ref="D208" r:id="rId160" display="mailto:andrea.janderova@avu.cz" xr:uid="{729E398D-2BF6-4088-9A4C-56309EDE7790}"/>
    <hyperlink ref="D209" r:id="rId161" display="mailto:andrea.janderova@avu.cz" xr:uid="{3C5FBBFF-3EA7-44C4-B3D4-6D2ECD1B9090}"/>
    <hyperlink ref="D210" r:id="rId162" display="mailto:andrea.janderova@avu.cz" xr:uid="{690E6568-365B-4A2B-9854-D4CCD6CD6167}"/>
    <hyperlink ref="D211" r:id="rId163" display="mailto:tomas.dzadon@avu.cz" xr:uid="{AB8BF54C-5627-4869-BD54-5F4D05CC4E33}"/>
    <hyperlink ref="D212" r:id="rId164" display="mailto:tomas.dzadon@avu.cz" xr:uid="{2622975E-C8A4-4360-A4B3-5B54DA396094}"/>
    <hyperlink ref="D213" r:id="rId165" display="mailto:tomas.dzadon@avu.cz" xr:uid="{FB4CF976-A656-4628-9330-C6D1A1C2F3A7}"/>
    <hyperlink ref="D225" r:id="rId166" display="mailto:rektor@avu.cz" xr:uid="{64CAED2C-98FE-47D6-AFAD-79E1C2335E0E}"/>
    <hyperlink ref="D226" r:id="rId167" display="mailto:rektorat@avu.cz" xr:uid="{718CD154-BA7D-47D6-B2E5-5A722C24DD67}"/>
    <hyperlink ref="D227" r:id="rId168" display="mailto:rektorat@avu.cz" xr:uid="{7B704B74-E5D5-4897-8C9F-0258129627DF}"/>
    <hyperlink ref="D228" r:id="rId169" display="mailto:rektorat@avu.cz" xr:uid="{2E13090A-CAE2-4715-91F1-BF656C7F4813}"/>
    <hyperlink ref="D229" r:id="rId170" display="mailto:marketa.strnadova@avu.cz" xr:uid="{AFE97AC5-15AA-4A2E-8BB8-9895440D331A}"/>
    <hyperlink ref="D230" r:id="rId171" display="mailto:marketa.strnadova@avu.cz" xr:uid="{C2664333-658D-44D5-8949-1CA8247A0E19}"/>
    <hyperlink ref="D23:D24" r:id="rId172" display="david.fesl@avu.cz" xr:uid="{D5B53830-72BB-4BEF-B5C3-05556CFB1759}"/>
    <hyperlink ref="D31:D32" r:id="rId173" display="david.fesl@avu.cz" xr:uid="{B8201ED2-E27F-41CA-8366-D916E93CBDF7}"/>
    <hyperlink ref="D33:D34" r:id="rId174" display="david.fesl@avu.cz" xr:uid="{1E495C12-C8AE-4B67-9792-0F4A10FAEED3}"/>
    <hyperlink ref="D35:D36" r:id="rId175" display="david.fesl@avu.cz" xr:uid="{8B3612FA-1B54-43D6-ACA2-D0CA60D3000B}"/>
    <hyperlink ref="D231" r:id="rId176" xr:uid="{AA344FFC-D5ED-4267-8276-AA7810F318A0}"/>
    <hyperlink ref="D232" r:id="rId177" xr:uid="{EBF3984F-4564-45FD-914A-AA05B2C3BEF4}"/>
    <hyperlink ref="D233" r:id="rId178" display="mailto:michal.ormandik@avu.cz" xr:uid="{D7CDA8A3-150E-4A1A-9C4E-71B431841AE5}"/>
    <hyperlink ref="D234" r:id="rId179" display="mailto:michal.ormandik@avu.cz" xr:uid="{B1085D6B-32AE-48E8-A6D0-B170BE6DC350}"/>
    <hyperlink ref="D235" r:id="rId180" xr:uid="{73908DB7-BCCF-41F6-A6C6-E4CC1D680E30}"/>
    <hyperlink ref="P235" r:id="rId181" xr:uid="{5C38CACF-8830-4DF2-BD75-C6C31A3B025A}"/>
    <hyperlink ref="P237" r:id="rId182" xr:uid="{CC51F0D6-0C96-453E-87ED-6FC1E8DD2058}"/>
    <hyperlink ref="P238" r:id="rId183" xr:uid="{096956BD-B3D8-4830-816B-44E6A6CBE146}"/>
    <hyperlink ref="P240" r:id="rId184" xr:uid="{AD9D3089-B358-4C29-B445-11CD3025E1C2}"/>
    <hyperlink ref="P241" r:id="rId185" xr:uid="{5FCB8807-C856-402D-8DDE-881CA03A0E48}"/>
    <hyperlink ref="P242" r:id="rId186" xr:uid="{0101D777-D2D8-4B72-9093-FD99562CC14D}"/>
    <hyperlink ref="P243" r:id="rId187" xr:uid="{E918993D-EC4B-44B0-B9D7-5B4FC5249CA4}"/>
    <hyperlink ref="D236:D238" r:id="rId188" display="pavla.scerankova@avu.cz" xr:uid="{4D2E169F-3F53-4D92-A3EB-3F29E511F967}"/>
    <hyperlink ref="D239:D248" r:id="rId189" display="pavla.scerankova@avu.cz" xr:uid="{C7A1B17B-6E81-4292-8A26-4AED17741CB7}"/>
    <hyperlink ref="P244" r:id="rId190" xr:uid="{DED99F7D-C0AF-48C4-8F55-9F246C5A4568}"/>
    <hyperlink ref="P245" r:id="rId191" xr:uid="{DB47066F-1594-4DC4-A5C9-82ECA48C137F}"/>
    <hyperlink ref="P246" r:id="rId192" xr:uid="{E81C64AA-5D35-4B71-A5B5-018F4C564D41}"/>
    <hyperlink ref="D249:D250" r:id="rId193" display="pavla.scerankova@avu.cz" xr:uid="{0294E0DC-2827-4557-888B-657475B40CAB}"/>
    <hyperlink ref="D251" r:id="rId194" xr:uid="{288F2300-8A79-45EF-AF21-EBD82F4D098C}"/>
    <hyperlink ref="P249" r:id="rId195" display="https://sketchup.cz/sketchup-eshop/?utm_source=google&amp;utm_medium=cpc&amp;utm_campaign=PMax%20%7C%20Sketchup&amp;utm_id=21564693787&amp;gad_source=1&amp;gad_campaignid=21560977427&amp;gclid=CjwKCAiAj8LLBhAkEiwAJjbY72IQTAMHtFdi3KX7PnGYIGp5mWVpa3QMPvhh8VCHVSQrRH82CkMyRhoCag8QAvD_BwE" xr:uid="{902F1E3D-5958-4DEC-841C-8336D10D5E5D}"/>
    <hyperlink ref="P250" r:id="rId196" xr:uid="{C4FB2094-5249-40AA-BBB6-D7FACF531304}"/>
    <hyperlink ref="P251" r:id="rId197" xr:uid="{A1811655-B2C5-4ABF-A110-A4714528525D}"/>
    <hyperlink ref="D252:D253" r:id="rId198" display="pavla.scerankova@avu.cz" xr:uid="{593B4E85-7E77-4545-A4ED-2D9AFFC8B70D}"/>
    <hyperlink ref="D255:D256" r:id="rId199" display="pavla.scerankova@avu.cz" xr:uid="{6B15ABF6-31B2-4DEF-AFE0-BED931AA96BB}"/>
    <hyperlink ref="D254" r:id="rId200" xr:uid="{CB2F242E-0D22-43AE-96A7-E5B1B6C8E31A}"/>
    <hyperlink ref="P252" r:id="rId201" xr:uid="{19BE4AB8-8784-496E-9795-C17CB5B2D341}"/>
    <hyperlink ref="P253" r:id="rId202" xr:uid="{748C9B28-110B-4437-B390-05B7D8EE0BD1}"/>
    <hyperlink ref="P254" r:id="rId203" xr:uid="{8C58D477-A610-4CF8-AC40-A4235F6C37CE}"/>
    <hyperlink ref="P255" r:id="rId204" xr:uid="{85B4EC10-B716-444D-BE63-62977406A278}"/>
    <hyperlink ref="D257" r:id="rId205" display="mailto:pergler@avu.cz" xr:uid="{0FFC4284-7926-4D3B-BC41-27BE87EF0E25}"/>
    <hyperlink ref="D258" r:id="rId206" xr:uid="{5450C1EA-8E35-4DF1-BDC3-A8D7944040A2}"/>
    <hyperlink ref="D259" r:id="rId207" xr:uid="{68CB46B2-A4AE-4C6A-B071-9FF71C224E7B}"/>
    <hyperlink ref="D260" r:id="rId208" xr:uid="{57971C55-FDF5-4372-BAEA-CD5B7FF7A7AE}"/>
    <hyperlink ref="D261" r:id="rId209" xr:uid="{6CB7B348-D854-4694-89BC-1910514E1774}"/>
    <hyperlink ref="D262" r:id="rId210" xr:uid="{5E37B95C-FDF3-4A02-BAE5-EADCDB0174A3}"/>
    <hyperlink ref="D263" r:id="rId211" xr:uid="{C9781EA1-C995-44C8-AB68-C79B28BE9ACB}"/>
    <hyperlink ref="D264" r:id="rId212" xr:uid="{9B74987D-B602-4B21-B217-29705CACA6B6}"/>
    <hyperlink ref="D265" r:id="rId213" xr:uid="{2A467ACC-1DBC-44E2-98A1-1C1396C8AA8D}"/>
    <hyperlink ref="D266" r:id="rId214" xr:uid="{8533F77A-D836-40E1-B152-75EEA176BF6C}"/>
    <hyperlink ref="D267" r:id="rId215" xr:uid="{307F8008-E547-45CA-8B3A-75819BCF5E1F}"/>
    <hyperlink ref="D268" r:id="rId216" xr:uid="{77381AAA-5406-46BE-8B88-B332E571C3FB}"/>
    <hyperlink ref="D269" r:id="rId217" xr:uid="{DD822478-81F7-4C8A-8B14-AEDEBB563F6B}"/>
    <hyperlink ref="D270" r:id="rId218" xr:uid="{638D177B-3127-463C-971C-AD5FD63F3C1B}"/>
    <hyperlink ref="D271" r:id="rId219" xr:uid="{CFB9033A-478D-42BD-BC21-32B28B412F1D}"/>
    <hyperlink ref="D272" r:id="rId220" xr:uid="{03C00877-EFBC-41FD-BE5F-FA2C0B1891C5}"/>
    <hyperlink ref="D273" r:id="rId221" xr:uid="{6F8C99DB-9ADB-45EB-9CD1-B231734A84EB}"/>
    <hyperlink ref="D274" r:id="rId222" xr:uid="{AE8C0121-831E-47D5-A3B3-F79D52418C41}"/>
    <hyperlink ref="D275" r:id="rId223" xr:uid="{829DC556-A1B0-4D5F-B3D5-D73462726384}"/>
    <hyperlink ref="D276" r:id="rId224" xr:uid="{F335B65D-CEF3-45F9-BBD7-FC7543A00BBE}"/>
    <hyperlink ref="D277" r:id="rId225" xr:uid="{6E011DAA-9834-4B68-8118-0CE29B82F7E3}"/>
    <hyperlink ref="D278" r:id="rId226" xr:uid="{17F98937-258F-4BA3-9528-967D178BF333}"/>
    <hyperlink ref="D279" r:id="rId227" xr:uid="{3C354AF6-264C-4864-9499-37A0AEDB0D1C}"/>
    <hyperlink ref="D280" r:id="rId228" xr:uid="{7578135D-4BF6-49B8-A93E-F5FDE6663ECF}"/>
    <hyperlink ref="D281" r:id="rId229" xr:uid="{3AB60A7C-435A-4F72-B1F3-B2C1FA8B4C27}"/>
    <hyperlink ref="D282" r:id="rId230" xr:uid="{D91C7ACB-ADDB-4140-B9B7-E2D656D450A3}"/>
    <hyperlink ref="D283" r:id="rId231" xr:uid="{323A02E7-8876-4574-8E09-DCFFF7865EA4}"/>
    <hyperlink ref="D284" r:id="rId232" xr:uid="{F7CBA533-99E5-496C-91CA-FD21ADFB5713}"/>
    <hyperlink ref="D285" r:id="rId233" xr:uid="{566A52C1-29DC-4666-B799-685216CDEE83}"/>
    <hyperlink ref="D286" r:id="rId234" xr:uid="{E34D44D5-5C27-40F1-A31E-185565836BCF}"/>
    <hyperlink ref="D287" r:id="rId235" xr:uid="{140D503E-61CC-48E5-AF42-D4AC72D59AD6}"/>
    <hyperlink ref="D288" r:id="rId236" xr:uid="{94929CCB-0941-4EF3-A2A7-893266387717}"/>
    <hyperlink ref="D289" r:id="rId237" xr:uid="{241D79EF-400A-4EE0-A89A-E7B3BCB29834}"/>
    <hyperlink ref="D290" r:id="rId238" xr:uid="{03C17045-23C0-4227-86D1-EE4140C103B6}"/>
    <hyperlink ref="D291" r:id="rId239" xr:uid="{CEEEA282-AFFA-44B1-B6FC-22F2A0C6E99A}"/>
    <hyperlink ref="D292" r:id="rId240" xr:uid="{54C9E3BE-0C5D-467F-8E5D-8D3CB8FA270E}"/>
    <hyperlink ref="D293" r:id="rId241" xr:uid="{58368059-4FFC-4D68-93B0-E9152D0C8C47}"/>
    <hyperlink ref="D294" r:id="rId242" xr:uid="{FE3B571C-D636-4562-B988-D0DE892C4EF4}"/>
    <hyperlink ref="D295" r:id="rId243" xr:uid="{E02FACF1-C619-4232-BA4F-4EB32B37DDF9}"/>
    <hyperlink ref="D296" r:id="rId244" xr:uid="{F17C8A41-677E-4A77-862E-E700C187548B}"/>
    <hyperlink ref="D297" r:id="rId245" xr:uid="{AC0CF914-F522-48BF-BCEE-8B10BAC19B89}"/>
    <hyperlink ref="D298" r:id="rId246" xr:uid="{8C1B0F68-453F-4327-AD9C-6E2B43BE9AF0}"/>
    <hyperlink ref="D299" r:id="rId247" xr:uid="{C154628F-BD63-4879-A192-E6F8A81C9ED5}"/>
    <hyperlink ref="D300" r:id="rId248" xr:uid="{0D4AA505-2569-4315-B97F-3AB884577B5F}"/>
    <hyperlink ref="D301" r:id="rId249" xr:uid="{75FD3107-7DC3-4B61-93DE-74BC2708CF6D}"/>
    <hyperlink ref="D302" r:id="rId250" xr:uid="{464E1EC4-55F4-4252-B297-D706A653AECB}"/>
    <hyperlink ref="D303" r:id="rId251" xr:uid="{81C2BE43-8430-4535-B25C-75FE41605DDB}"/>
    <hyperlink ref="O302" r:id="rId252" display="https://kirstenpalz.com/forest-research-platform" xr:uid="{D71D1FFD-1E84-444D-948B-A5F99D3CAEF6}"/>
  </hyperlinks>
  <pageMargins left="0.7" right="0.7" top="0.78740157499999996" bottom="0.78740157499999996" header="0.3" footer="0.3"/>
  <pageSetup paperSize="9" orientation="portrait" r:id="rId253"/>
  <legacyDrawing r:id="rId25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9482-1BD0-4C6F-93C4-FC6AB3F0D6E4}">
  <dimension ref="B1:M39"/>
  <sheetViews>
    <sheetView topLeftCell="A2" zoomScale="86" zoomScaleNormal="86" workbookViewId="0">
      <selection activeCell="D38" sqref="D38"/>
    </sheetView>
  </sheetViews>
  <sheetFormatPr defaultColWidth="9.33203125" defaultRowHeight="14.4"/>
  <cols>
    <col min="1" max="1" width="9.33203125" style="224"/>
    <col min="2" max="2" width="75.44140625" style="224" customWidth="1"/>
    <col min="3" max="3" width="9.33203125" style="224"/>
    <col min="4" max="4" width="13" style="224" customWidth="1"/>
    <col min="5" max="5" width="17.33203125" style="224" bestFit="1" customWidth="1"/>
    <col min="6" max="6" width="13.33203125" style="224" customWidth="1"/>
    <col min="7" max="7" width="12.5546875" style="224" bestFit="1" customWidth="1"/>
    <col min="8" max="8" width="19.6640625" style="224" customWidth="1"/>
    <col min="9" max="9" width="14.44140625" style="224" customWidth="1"/>
    <col min="10" max="10" width="14" style="238" bestFit="1" customWidth="1"/>
    <col min="11" max="11" width="13.6640625" style="238" customWidth="1"/>
    <col min="12" max="12" width="15.6640625" style="224" customWidth="1"/>
    <col min="13" max="13" width="17.6640625" style="224" customWidth="1"/>
    <col min="14" max="16384" width="9.33203125" style="224"/>
  </cols>
  <sheetData>
    <row r="1" spans="2:13" ht="15" thickBot="1"/>
    <row r="2" spans="2:13" ht="29.4" thickBot="1">
      <c r="B2" s="225">
        <v>0</v>
      </c>
      <c r="C2" s="226" t="s">
        <v>1170</v>
      </c>
      <c r="D2" s="227" t="s">
        <v>1171</v>
      </c>
      <c r="E2" s="228" t="s">
        <v>1172</v>
      </c>
      <c r="F2" s="229" t="s">
        <v>1173</v>
      </c>
      <c r="G2" s="230" t="s">
        <v>1174</v>
      </c>
      <c r="H2" s="231" t="s">
        <v>1175</v>
      </c>
      <c r="I2" s="984" t="s">
        <v>1176</v>
      </c>
      <c r="J2" s="349" t="s">
        <v>1177</v>
      </c>
      <c r="K2" s="350" t="s">
        <v>1178</v>
      </c>
      <c r="L2" s="351" t="s">
        <v>36</v>
      </c>
    </row>
    <row r="3" spans="2:13">
      <c r="B3" s="241" t="s">
        <v>1179</v>
      </c>
      <c r="C3" s="242"/>
      <c r="D3" s="243" t="s">
        <v>1180</v>
      </c>
      <c r="E3" s="244">
        <v>100000</v>
      </c>
      <c r="F3" s="245">
        <v>100000</v>
      </c>
      <c r="G3" s="246">
        <v>0</v>
      </c>
      <c r="H3" s="238">
        <v>113138.83</v>
      </c>
      <c r="I3" s="985"/>
      <c r="J3" s="986">
        <v>100000</v>
      </c>
      <c r="K3" s="987">
        <v>0</v>
      </c>
      <c r="L3" s="988">
        <f t="shared" ref="L3:L30" si="0">J3+K3</f>
        <v>100000</v>
      </c>
    </row>
    <row r="4" spans="2:13">
      <c r="B4" s="255" t="s">
        <v>1181</v>
      </c>
      <c r="C4" s="234"/>
      <c r="D4" s="232" t="s">
        <v>1182</v>
      </c>
      <c r="E4" s="235">
        <v>133000</v>
      </c>
      <c r="F4" s="247">
        <v>133000</v>
      </c>
      <c r="G4" s="237">
        <v>0</v>
      </c>
      <c r="H4" s="233">
        <v>133000</v>
      </c>
      <c r="I4" s="985"/>
      <c r="J4" s="986"/>
      <c r="K4" s="987"/>
      <c r="L4" s="988">
        <f t="shared" si="0"/>
        <v>0</v>
      </c>
    </row>
    <row r="5" spans="2:13">
      <c r="B5" s="255" t="s">
        <v>1183</v>
      </c>
      <c r="C5" s="234"/>
      <c r="D5" s="232" t="s">
        <v>1184</v>
      </c>
      <c r="E5" s="235">
        <v>40000</v>
      </c>
      <c r="F5" s="247">
        <v>40000</v>
      </c>
      <c r="G5" s="237">
        <v>0</v>
      </c>
      <c r="H5" s="233"/>
      <c r="I5" s="985"/>
      <c r="J5" s="986"/>
      <c r="K5" s="987"/>
      <c r="L5" s="988">
        <f t="shared" si="0"/>
        <v>0</v>
      </c>
    </row>
    <row r="6" spans="2:13">
      <c r="B6" s="255" t="s">
        <v>1185</v>
      </c>
      <c r="C6" s="234"/>
      <c r="D6" s="232" t="s">
        <v>1186</v>
      </c>
      <c r="E6" s="235"/>
      <c r="F6" s="236"/>
      <c r="G6" s="237">
        <v>0</v>
      </c>
      <c r="H6" s="233">
        <v>90659</v>
      </c>
      <c r="I6" s="985"/>
      <c r="J6" s="986">
        <v>90000</v>
      </c>
      <c r="K6" s="987"/>
      <c r="L6" s="988">
        <f t="shared" si="0"/>
        <v>90000</v>
      </c>
      <c r="M6" s="224" t="s">
        <v>1187</v>
      </c>
    </row>
    <row r="7" spans="2:13">
      <c r="B7" s="255" t="s">
        <v>1188</v>
      </c>
      <c r="C7" s="234"/>
      <c r="D7" s="232" t="s">
        <v>1189</v>
      </c>
      <c r="E7" s="235">
        <v>392500</v>
      </c>
      <c r="F7" s="247">
        <v>392500</v>
      </c>
      <c r="G7" s="237">
        <v>0</v>
      </c>
      <c r="H7" s="233">
        <v>395632.68</v>
      </c>
      <c r="I7" s="985"/>
      <c r="J7" s="986"/>
      <c r="K7" s="987">
        <v>11318694</v>
      </c>
      <c r="L7" s="988">
        <f t="shared" si="0"/>
        <v>11318694</v>
      </c>
    </row>
    <row r="8" spans="2:13">
      <c r="B8" s="255" t="s">
        <v>1190</v>
      </c>
      <c r="C8" s="234"/>
      <c r="D8" s="232"/>
      <c r="E8" s="235"/>
      <c r="F8" s="236"/>
      <c r="G8" s="237">
        <v>0</v>
      </c>
      <c r="H8" s="233"/>
      <c r="I8" s="985"/>
      <c r="J8" s="986"/>
      <c r="K8" s="987"/>
      <c r="L8" s="988">
        <f t="shared" si="0"/>
        <v>0</v>
      </c>
    </row>
    <row r="9" spans="2:13" ht="28.5" customHeight="1">
      <c r="B9" s="989" t="s">
        <v>1191</v>
      </c>
      <c r="C9" s="248" t="s">
        <v>1192</v>
      </c>
      <c r="D9" s="249" t="s">
        <v>1193</v>
      </c>
      <c r="E9" s="235">
        <v>5950296</v>
      </c>
      <c r="F9" s="236">
        <v>0</v>
      </c>
      <c r="G9" s="250">
        <v>5950296</v>
      </c>
      <c r="H9" s="233"/>
      <c r="I9" s="985"/>
      <c r="J9" s="986"/>
      <c r="K9" s="987">
        <f>G9</f>
        <v>5950296</v>
      </c>
      <c r="L9" s="988">
        <f t="shared" si="0"/>
        <v>5950296</v>
      </c>
    </row>
    <row r="10" spans="2:13">
      <c r="B10" s="301" t="s">
        <v>1194</v>
      </c>
      <c r="C10" s="248"/>
      <c r="D10" s="249"/>
      <c r="E10" s="235"/>
      <c r="F10" s="236"/>
      <c r="G10" s="250"/>
      <c r="H10" s="233"/>
      <c r="I10" s="985"/>
      <c r="J10" s="986">
        <v>308000</v>
      </c>
      <c r="K10" s="987"/>
      <c r="L10" s="988">
        <f>J10+K10</f>
        <v>308000</v>
      </c>
    </row>
    <row r="11" spans="2:13">
      <c r="B11" s="301" t="s">
        <v>1195</v>
      </c>
      <c r="C11" s="248"/>
      <c r="D11" s="249"/>
      <c r="E11" s="235"/>
      <c r="F11" s="236"/>
      <c r="G11" s="250"/>
      <c r="H11" s="233"/>
      <c r="I11" s="985"/>
      <c r="J11" s="986">
        <v>150000</v>
      </c>
      <c r="K11" s="987"/>
      <c r="L11" s="988">
        <v>150000</v>
      </c>
      <c r="M11" s="224" t="s">
        <v>1196</v>
      </c>
    </row>
    <row r="12" spans="2:13">
      <c r="B12" s="255" t="s">
        <v>1197</v>
      </c>
      <c r="C12" s="990"/>
      <c r="D12" s="991" t="s">
        <v>1198</v>
      </c>
      <c r="E12" s="235">
        <v>750000</v>
      </c>
      <c r="F12" s="247">
        <v>750000</v>
      </c>
      <c r="G12" s="237">
        <v>0</v>
      </c>
      <c r="H12" s="233">
        <v>974369</v>
      </c>
      <c r="I12" s="985"/>
      <c r="J12" s="986">
        <v>750000</v>
      </c>
      <c r="K12" s="987">
        <v>0</v>
      </c>
      <c r="L12" s="988">
        <f t="shared" si="0"/>
        <v>750000</v>
      </c>
      <c r="M12" s="299"/>
    </row>
    <row r="13" spans="2:13">
      <c r="B13" s="255" t="s">
        <v>1199</v>
      </c>
      <c r="C13" s="990"/>
      <c r="D13" s="992" t="s">
        <v>1200</v>
      </c>
      <c r="E13" s="235">
        <v>0</v>
      </c>
      <c r="F13" s="236">
        <v>0</v>
      </c>
      <c r="G13" s="237">
        <v>0</v>
      </c>
      <c r="H13" s="233"/>
      <c r="I13" s="985"/>
      <c r="J13" s="986">
        <v>80000</v>
      </c>
      <c r="K13" s="987">
        <v>0</v>
      </c>
      <c r="L13" s="988">
        <f t="shared" si="0"/>
        <v>80000</v>
      </c>
      <c r="M13" s="224" t="s">
        <v>1201</v>
      </c>
    </row>
    <row r="14" spans="2:13">
      <c r="B14" s="255" t="s">
        <v>1202</v>
      </c>
      <c r="C14" s="990"/>
      <c r="D14" s="991" t="s">
        <v>1203</v>
      </c>
      <c r="E14" s="251">
        <v>910000</v>
      </c>
      <c r="F14" s="236">
        <v>910000</v>
      </c>
      <c r="G14" s="237">
        <v>0</v>
      </c>
      <c r="H14" s="233">
        <f>604188.39+865216</f>
        <v>1469404.3900000001</v>
      </c>
      <c r="I14" s="985"/>
      <c r="J14" s="986">
        <v>1470000</v>
      </c>
      <c r="K14" s="987"/>
      <c r="L14" s="988">
        <f t="shared" si="0"/>
        <v>1470000</v>
      </c>
    </row>
    <row r="15" spans="2:13">
      <c r="B15" s="255" t="s">
        <v>1204</v>
      </c>
      <c r="C15" s="990"/>
      <c r="D15" s="991" t="s">
        <v>1205</v>
      </c>
      <c r="E15" s="252">
        <v>14000000</v>
      </c>
      <c r="F15" s="253">
        <v>9300000</v>
      </c>
      <c r="G15" s="254">
        <v>4700000</v>
      </c>
      <c r="H15" s="233">
        <v>8076779.5999999996</v>
      </c>
      <c r="I15" s="985">
        <v>182710.12</v>
      </c>
      <c r="J15" s="986">
        <v>8000000</v>
      </c>
      <c r="K15" s="987">
        <v>2500000</v>
      </c>
      <c r="L15" s="988">
        <f>SUM(J15:K15)</f>
        <v>10500000</v>
      </c>
    </row>
    <row r="16" spans="2:13">
      <c r="B16" s="255" t="s">
        <v>1206</v>
      </c>
      <c r="C16" s="990"/>
      <c r="D16" s="991" t="s">
        <v>1207</v>
      </c>
      <c r="E16" s="235">
        <v>390000</v>
      </c>
      <c r="F16" s="247">
        <v>390000</v>
      </c>
      <c r="G16" s="237">
        <v>0</v>
      </c>
      <c r="H16" s="233">
        <v>420933.34</v>
      </c>
      <c r="I16" s="985"/>
      <c r="J16" s="986">
        <v>390000</v>
      </c>
      <c r="K16" s="987">
        <v>0</v>
      </c>
      <c r="L16" s="988">
        <f t="shared" si="0"/>
        <v>390000</v>
      </c>
    </row>
    <row r="17" spans="2:13">
      <c r="B17" s="255" t="s">
        <v>1208</v>
      </c>
      <c r="C17" s="990"/>
      <c r="D17" s="991" t="s">
        <v>1207</v>
      </c>
      <c r="E17" s="235">
        <v>2542354</v>
      </c>
      <c r="F17" s="236">
        <v>0</v>
      </c>
      <c r="G17" s="250">
        <v>2542354</v>
      </c>
      <c r="H17" s="233"/>
      <c r="I17" s="985">
        <v>2493954</v>
      </c>
      <c r="J17" s="986">
        <v>0</v>
      </c>
      <c r="K17" s="987">
        <v>2300000</v>
      </c>
      <c r="L17" s="988">
        <f t="shared" si="0"/>
        <v>2300000</v>
      </c>
    </row>
    <row r="18" spans="2:13">
      <c r="B18" s="993" t="s">
        <v>1209</v>
      </c>
      <c r="C18" s="994"/>
      <c r="D18" s="995"/>
      <c r="E18" s="235"/>
      <c r="F18" s="247"/>
      <c r="G18" s="237"/>
      <c r="H18" s="233"/>
      <c r="I18" s="985"/>
      <c r="J18" s="986">
        <v>2600000</v>
      </c>
      <c r="K18" s="987">
        <v>0</v>
      </c>
      <c r="L18" s="988">
        <f>J18+K18</f>
        <v>2600000</v>
      </c>
      <c r="M18" s="224" t="s">
        <v>1210</v>
      </c>
    </row>
    <row r="19" spans="2:13">
      <c r="B19" s="255" t="s">
        <v>1211</v>
      </c>
      <c r="C19" s="996"/>
      <c r="D19" s="992" t="s">
        <v>1212</v>
      </c>
      <c r="E19" s="235">
        <v>0</v>
      </c>
      <c r="F19" s="236">
        <v>0</v>
      </c>
      <c r="G19" s="237">
        <v>0</v>
      </c>
      <c r="H19" s="233"/>
      <c r="I19" s="985"/>
      <c r="J19" s="986">
        <v>200000</v>
      </c>
      <c r="K19" s="987"/>
      <c r="L19" s="988">
        <f t="shared" si="0"/>
        <v>200000</v>
      </c>
      <c r="M19" s="299"/>
    </row>
    <row r="20" spans="2:13">
      <c r="B20" s="255" t="s">
        <v>1213</v>
      </c>
      <c r="C20" s="996"/>
      <c r="D20" s="992"/>
      <c r="E20" s="235"/>
      <c r="F20" s="236"/>
      <c r="G20" s="237"/>
      <c r="H20" s="233"/>
      <c r="I20" s="985"/>
      <c r="J20" s="986"/>
      <c r="K20" s="987">
        <v>359000</v>
      </c>
      <c r="L20" s="988">
        <f t="shared" si="0"/>
        <v>359000</v>
      </c>
    </row>
    <row r="21" spans="2:13">
      <c r="B21" s="255" t="s">
        <v>1214</v>
      </c>
      <c r="C21" s="996"/>
      <c r="D21" s="991" t="s">
        <v>1215</v>
      </c>
      <c r="E21" s="235">
        <v>80000</v>
      </c>
      <c r="F21" s="247">
        <v>80000</v>
      </c>
      <c r="G21" s="237"/>
      <c r="H21" s="233"/>
      <c r="I21" s="985"/>
      <c r="J21" s="986">
        <v>80000</v>
      </c>
      <c r="K21" s="987">
        <v>0</v>
      </c>
      <c r="L21" s="988">
        <f t="shared" si="0"/>
        <v>80000</v>
      </c>
    </row>
    <row r="22" spans="2:13">
      <c r="B22" s="255" t="s">
        <v>1216</v>
      </c>
      <c r="C22" s="996"/>
      <c r="D22" s="991" t="s">
        <v>1217</v>
      </c>
      <c r="E22" s="235">
        <v>200000</v>
      </c>
      <c r="F22" s="247">
        <v>200000</v>
      </c>
      <c r="G22" s="237"/>
      <c r="H22" s="233">
        <v>6389</v>
      </c>
      <c r="I22" s="985">
        <v>0</v>
      </c>
      <c r="J22" s="986">
        <v>100000</v>
      </c>
      <c r="K22" s="987">
        <v>0</v>
      </c>
      <c r="L22" s="988">
        <f t="shared" si="0"/>
        <v>100000</v>
      </c>
    </row>
    <row r="23" spans="2:13">
      <c r="B23" s="255" t="s">
        <v>1218</v>
      </c>
      <c r="C23" s="996"/>
      <c r="D23" s="992"/>
      <c r="E23" s="235"/>
      <c r="F23" s="236"/>
      <c r="G23" s="237"/>
      <c r="H23" s="233"/>
      <c r="I23" s="985"/>
      <c r="J23" s="986"/>
      <c r="K23" s="987"/>
      <c r="L23" s="988">
        <f t="shared" si="0"/>
        <v>0</v>
      </c>
    </row>
    <row r="24" spans="2:13">
      <c r="B24" s="255" t="s">
        <v>1219</v>
      </c>
      <c r="C24" s="996"/>
      <c r="D24" s="992"/>
      <c r="E24" s="235"/>
      <c r="F24" s="236"/>
      <c r="G24" s="237"/>
      <c r="H24" s="233"/>
      <c r="I24" s="985"/>
      <c r="J24" s="986"/>
      <c r="K24" s="987"/>
      <c r="L24" s="988">
        <f t="shared" si="0"/>
        <v>0</v>
      </c>
    </row>
    <row r="25" spans="2:13">
      <c r="B25" s="255" t="s">
        <v>1220</v>
      </c>
      <c r="C25" s="996"/>
      <c r="D25" s="991" t="s">
        <v>1221</v>
      </c>
      <c r="E25" s="235">
        <v>260000</v>
      </c>
      <c r="F25" s="247">
        <v>160000</v>
      </c>
      <c r="G25" s="250">
        <v>100000</v>
      </c>
      <c r="H25" s="233">
        <v>19110</v>
      </c>
      <c r="I25" s="985"/>
      <c r="J25" s="986"/>
      <c r="K25" s="987"/>
      <c r="L25" s="988">
        <f t="shared" si="0"/>
        <v>0</v>
      </c>
    </row>
    <row r="26" spans="2:13">
      <c r="B26" s="255" t="s">
        <v>1222</v>
      </c>
      <c r="C26" s="996"/>
      <c r="D26" s="991" t="s">
        <v>1223</v>
      </c>
      <c r="E26" s="235">
        <v>350900</v>
      </c>
      <c r="F26" s="247">
        <v>350900</v>
      </c>
      <c r="G26" s="237">
        <v>0</v>
      </c>
      <c r="H26" s="233">
        <v>0</v>
      </c>
      <c r="I26" s="985">
        <v>0</v>
      </c>
      <c r="J26" s="986"/>
      <c r="K26" s="987"/>
      <c r="L26" s="988">
        <f t="shared" si="0"/>
        <v>0</v>
      </c>
    </row>
    <row r="27" spans="2:13">
      <c r="B27" s="255" t="s">
        <v>1224</v>
      </c>
      <c r="C27" s="996"/>
      <c r="D27" s="991" t="s">
        <v>1225</v>
      </c>
      <c r="E27" s="235">
        <v>295000</v>
      </c>
      <c r="F27" s="247">
        <v>295000</v>
      </c>
      <c r="G27" s="237">
        <v>0</v>
      </c>
      <c r="H27" s="233">
        <v>0</v>
      </c>
      <c r="I27" s="985">
        <v>0</v>
      </c>
      <c r="J27" s="986"/>
      <c r="K27" s="987"/>
      <c r="L27" s="988">
        <f t="shared" si="0"/>
        <v>0</v>
      </c>
      <c r="M27" s="224" t="s">
        <v>1226</v>
      </c>
    </row>
    <row r="28" spans="2:13">
      <c r="B28" s="255" t="s">
        <v>1227</v>
      </c>
      <c r="C28" s="996"/>
      <c r="D28" s="991" t="s">
        <v>1228</v>
      </c>
      <c r="E28" s="235">
        <v>200000</v>
      </c>
      <c r="F28" s="247">
        <v>200000</v>
      </c>
      <c r="G28" s="237">
        <v>0</v>
      </c>
      <c r="H28" s="233">
        <v>0</v>
      </c>
      <c r="I28" s="985">
        <v>0</v>
      </c>
      <c r="J28" s="986"/>
      <c r="K28" s="987"/>
      <c r="L28" s="988">
        <f t="shared" si="0"/>
        <v>0</v>
      </c>
    </row>
    <row r="29" spans="2:13">
      <c r="B29" s="255" t="s">
        <v>1229</v>
      </c>
      <c r="C29" s="996"/>
      <c r="D29" s="991" t="s">
        <v>1230</v>
      </c>
      <c r="E29" s="235">
        <v>350000</v>
      </c>
      <c r="F29" s="236">
        <v>0</v>
      </c>
      <c r="G29" s="250">
        <v>350000</v>
      </c>
      <c r="H29" s="233">
        <v>0</v>
      </c>
      <c r="I29" s="985">
        <v>0</v>
      </c>
      <c r="J29" s="997"/>
      <c r="K29" s="233"/>
      <c r="L29" s="998">
        <f t="shared" si="0"/>
        <v>0</v>
      </c>
      <c r="M29" s="224" t="s">
        <v>1231</v>
      </c>
    </row>
    <row r="30" spans="2:13">
      <c r="B30" s="255" t="s">
        <v>1232</v>
      </c>
      <c r="C30" s="996"/>
      <c r="D30" s="991" t="s">
        <v>1233</v>
      </c>
      <c r="E30" s="235">
        <v>200000</v>
      </c>
      <c r="F30" s="247">
        <v>200000</v>
      </c>
      <c r="G30" s="237">
        <v>0</v>
      </c>
      <c r="H30" s="233"/>
      <c r="I30" s="985"/>
      <c r="J30" s="997"/>
      <c r="K30" s="233"/>
      <c r="L30" s="998">
        <f t="shared" si="0"/>
        <v>0</v>
      </c>
    </row>
    <row r="31" spans="2:13">
      <c r="B31" s="999" t="s">
        <v>1234</v>
      </c>
      <c r="C31" s="999"/>
      <c r="D31" s="1000" t="s">
        <v>1235</v>
      </c>
      <c r="E31" s="235"/>
      <c r="F31" s="236"/>
      <c r="G31" s="237"/>
      <c r="H31" s="233"/>
      <c r="I31" s="985"/>
      <c r="J31" s="997">
        <v>30000</v>
      </c>
      <c r="K31" s="233">
        <v>0</v>
      </c>
      <c r="L31" s="998">
        <f>J31+K31</f>
        <v>30000</v>
      </c>
    </row>
    <row r="32" spans="2:13">
      <c r="B32" s="999" t="s">
        <v>1236</v>
      </c>
      <c r="C32" s="999"/>
      <c r="D32" s="1000"/>
      <c r="E32" s="236"/>
      <c r="F32" s="236"/>
      <c r="G32" s="236"/>
      <c r="H32" s="233"/>
      <c r="I32" s="985"/>
      <c r="J32" s="398">
        <v>500000</v>
      </c>
      <c r="K32" s="399"/>
      <c r="L32" s="998">
        <f>J32+K32</f>
        <v>500000</v>
      </c>
    </row>
    <row r="33" spans="2:12" ht="15" thickBot="1">
      <c r="E33" s="256">
        <v>46708084.451499999</v>
      </c>
      <c r="F33" s="256">
        <v>21794400</v>
      </c>
      <c r="G33" s="257">
        <v>24913684.451499999</v>
      </c>
      <c r="H33" s="238">
        <f>SUM(H3:H32)</f>
        <v>11699415.84</v>
      </c>
      <c r="I33" s="238"/>
      <c r="J33" s="943">
        <f>SUM(J3:J32)</f>
        <v>14848000</v>
      </c>
      <c r="K33" s="943">
        <f>SUM(K3:K32)</f>
        <v>22427990</v>
      </c>
      <c r="L33" s="943">
        <f>SUM(L3:L32)</f>
        <v>37275990</v>
      </c>
    </row>
    <row r="34" spans="2:12" ht="15" thickBot="1">
      <c r="E34" s="258">
        <v>-33885592.631505072</v>
      </c>
      <c r="F34" s="239">
        <v>-21794400</v>
      </c>
      <c r="G34" s="240">
        <v>-24913684.451499999</v>
      </c>
      <c r="H34" s="238"/>
      <c r="I34" s="238"/>
    </row>
    <row r="35" spans="2:12">
      <c r="B35" s="224" t="s">
        <v>1237</v>
      </c>
    </row>
    <row r="36" spans="2:12">
      <c r="B36" s="224" t="s">
        <v>1238</v>
      </c>
    </row>
    <row r="37" spans="2:12">
      <c r="B37" s="224" t="s">
        <v>1239</v>
      </c>
    </row>
    <row r="38" spans="2:12">
      <c r="B38" s="224" t="s">
        <v>1240</v>
      </c>
    </row>
    <row r="39" spans="2:12">
      <c r="B39" s="224" t="s">
        <v>1241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77A2A-E464-4863-B1BF-5DF23B640943}">
  <dimension ref="A2:Q27"/>
  <sheetViews>
    <sheetView topLeftCell="A5" workbookViewId="0">
      <selection activeCell="L7" sqref="L7"/>
    </sheetView>
  </sheetViews>
  <sheetFormatPr defaultRowHeight="14.4"/>
  <cols>
    <col min="2" max="2" width="13.44140625" hidden="1" customWidth="1"/>
    <col min="3" max="3" width="16.5546875" hidden="1" customWidth="1"/>
    <col min="4" max="4" width="15.5546875" hidden="1" customWidth="1"/>
    <col min="5" max="7" width="0" hidden="1" customWidth="1"/>
    <col min="8" max="8" width="16.5546875" customWidth="1"/>
    <col min="9" max="9" width="13.5546875" bestFit="1" customWidth="1"/>
    <col min="10" max="10" width="16.109375" bestFit="1" customWidth="1"/>
    <col min="11" max="11" width="12.109375" bestFit="1" customWidth="1"/>
    <col min="12" max="12" width="14.33203125" bestFit="1" customWidth="1"/>
    <col min="13" max="13" width="9.5546875" customWidth="1"/>
    <col min="14" max="14" width="11.88671875" customWidth="1"/>
    <col min="15" max="15" width="17.6640625" customWidth="1"/>
    <col min="16" max="16" width="7.5546875" customWidth="1"/>
    <col min="17" max="17" width="8.88671875" bestFit="1" customWidth="1"/>
  </cols>
  <sheetData>
    <row r="2" spans="1:17" ht="15" thickBot="1">
      <c r="L2" t="s">
        <v>1242</v>
      </c>
    </row>
    <row r="3" spans="1:17" ht="72">
      <c r="B3" s="180" t="s">
        <v>1243</v>
      </c>
      <c r="C3" s="181" t="s">
        <v>1244</v>
      </c>
      <c r="D3" s="182" t="s">
        <v>1245</v>
      </c>
      <c r="E3" s="1001" t="s">
        <v>1246</v>
      </c>
      <c r="F3" s="976" t="s">
        <v>1247</v>
      </c>
      <c r="G3" s="1002" t="s">
        <v>1248</v>
      </c>
      <c r="H3" s="378"/>
      <c r="I3" s="379" t="s">
        <v>1249</v>
      </c>
      <c r="J3" s="380" t="s">
        <v>2</v>
      </c>
      <c r="K3" s="379" t="s">
        <v>1250</v>
      </c>
      <c r="L3" s="381" t="s">
        <v>1251</v>
      </c>
      <c r="O3" s="376"/>
    </row>
    <row r="4" spans="1:17">
      <c r="B4" s="1003">
        <v>109650990</v>
      </c>
      <c r="C4" s="181" t="s">
        <v>1252</v>
      </c>
      <c r="D4" s="1003">
        <f>'[1]mzdové náklady'!$G$2</f>
        <v>113770229.04000001</v>
      </c>
      <c r="E4" s="1004">
        <f>D4-B4</f>
        <v>4119239.0400000066</v>
      </c>
      <c r="F4" s="1005">
        <f>E4/B4</f>
        <v>3.7566820326930074E-2</v>
      </c>
      <c r="G4" s="1006">
        <f>D4-A4</f>
        <v>113770229.04000001</v>
      </c>
      <c r="H4" s="1007" t="s">
        <v>1253</v>
      </c>
      <c r="I4" s="1008">
        <v>121241425</v>
      </c>
      <c r="J4" s="1009">
        <v>125760716</v>
      </c>
      <c r="K4" s="1008">
        <f>J4-I4</f>
        <v>4519291</v>
      </c>
      <c r="L4" s="1010">
        <f>L5+J8</f>
        <v>126885654.90000001</v>
      </c>
      <c r="N4" s="369"/>
      <c r="O4" s="377"/>
    </row>
    <row r="5" spans="1:17" ht="15" thickBot="1">
      <c r="B5" s="184">
        <v>89877860</v>
      </c>
      <c r="C5" s="181" t="s">
        <v>1254</v>
      </c>
      <c r="D5" s="184">
        <v>92211942.5</v>
      </c>
      <c r="E5" s="1004">
        <f>D5-B5</f>
        <v>2334082.5</v>
      </c>
      <c r="F5" s="1005">
        <f>E5/B5</f>
        <v>2.5969493488162715E-2</v>
      </c>
      <c r="G5" s="1006">
        <f>D5-A5</f>
        <v>92211942.5</v>
      </c>
      <c r="H5" s="382" t="s">
        <v>1255</v>
      </c>
      <c r="I5" s="383">
        <v>98991397</v>
      </c>
      <c r="J5" s="384">
        <v>97675890</v>
      </c>
      <c r="K5" s="385">
        <f>J5-I5</f>
        <v>-1315507</v>
      </c>
      <c r="L5" s="386">
        <f>J5+N19</f>
        <v>101637105.90000001</v>
      </c>
      <c r="N5" s="369"/>
      <c r="O5" s="377"/>
      <c r="P5" t="s">
        <v>1256</v>
      </c>
    </row>
    <row r="6" spans="1:17">
      <c r="K6" s="368"/>
      <c r="L6" s="185"/>
      <c r="N6" s="369"/>
      <c r="P6" s="1011">
        <v>1141</v>
      </c>
      <c r="Q6" s="1012">
        <v>2632378</v>
      </c>
    </row>
    <row r="7" spans="1:17">
      <c r="H7" s="1011" t="s">
        <v>1257</v>
      </c>
      <c r="I7" s="1011"/>
      <c r="J7" s="1013">
        <f>J4-J5</f>
        <v>28084826</v>
      </c>
      <c r="N7" s="369"/>
      <c r="P7" s="1011">
        <v>1152</v>
      </c>
      <c r="Q7" s="1012">
        <v>1767853</v>
      </c>
    </row>
    <row r="8" spans="1:17">
      <c r="H8" s="1014" t="s">
        <v>1258</v>
      </c>
      <c r="I8" s="1014"/>
      <c r="J8" s="1015">
        <f>J7-Q9+2000000+1500000</f>
        <v>25248549</v>
      </c>
      <c r="N8" s="370"/>
      <c r="P8" s="1016">
        <v>1153</v>
      </c>
      <c r="Q8" s="1012">
        <v>1936046</v>
      </c>
    </row>
    <row r="9" spans="1:17">
      <c r="J9" s="367"/>
      <c r="L9" s="185"/>
      <c r="P9" s="373"/>
      <c r="Q9" s="944">
        <f>SUM(Q6:Q8)</f>
        <v>6336277</v>
      </c>
    </row>
    <row r="10" spans="1:17" ht="15" thickBot="1">
      <c r="J10" s="367"/>
      <c r="L10" s="373"/>
      <c r="M10" s="374"/>
      <c r="P10" s="373"/>
      <c r="Q10" s="944"/>
    </row>
    <row r="11" spans="1:17" ht="15" thickBot="1">
      <c r="A11" s="364" t="s">
        <v>1259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6"/>
      <c r="P11" s="374"/>
      <c r="Q11" s="374"/>
    </row>
    <row r="12" spans="1:17" ht="15" thickBot="1">
      <c r="A12" s="187" t="s">
        <v>1260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9"/>
      <c r="P12" s="375"/>
      <c r="Q12" s="374"/>
    </row>
    <row r="13" spans="1:17" ht="15" thickBot="1">
      <c r="A13" s="387" t="s">
        <v>1261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9"/>
    </row>
    <row r="14" spans="1:17">
      <c r="A14" s="390"/>
      <c r="B14" s="299"/>
      <c r="C14" s="299"/>
      <c r="D14" s="299"/>
      <c r="E14" s="299"/>
      <c r="F14" s="299"/>
      <c r="G14" s="299"/>
      <c r="H14" s="299" t="s">
        <v>1262</v>
      </c>
      <c r="I14" s="299" t="s">
        <v>1263</v>
      </c>
      <c r="J14" s="299" t="s">
        <v>1264</v>
      </c>
      <c r="K14" s="299"/>
      <c r="L14" s="299" t="s">
        <v>1265</v>
      </c>
      <c r="M14" s="299" t="s">
        <v>1266</v>
      </c>
      <c r="N14" s="391" t="s">
        <v>1267</v>
      </c>
    </row>
    <row r="15" spans="1:17">
      <c r="A15" s="390"/>
      <c r="B15" s="299"/>
      <c r="C15" s="299"/>
      <c r="D15" s="299"/>
      <c r="E15" s="299"/>
      <c r="F15" s="299"/>
      <c r="G15" s="299"/>
      <c r="H15" s="392">
        <v>5295500</v>
      </c>
      <c r="I15" s="392">
        <v>102200</v>
      </c>
      <c r="J15" s="392">
        <v>788850</v>
      </c>
      <c r="K15" s="392"/>
      <c r="L15" s="392">
        <v>6186550</v>
      </c>
      <c r="M15" s="392">
        <f>L15*12</f>
        <v>74238600</v>
      </c>
      <c r="N15" s="393"/>
    </row>
    <row r="16" spans="1:17" ht="15" thickBot="1">
      <c r="A16" s="394"/>
      <c r="B16" s="395"/>
      <c r="C16" s="395"/>
      <c r="D16" s="395"/>
      <c r="E16" s="395"/>
      <c r="F16" s="395"/>
      <c r="G16" s="395"/>
      <c r="H16" s="395" t="s">
        <v>1268</v>
      </c>
      <c r="I16" s="395"/>
      <c r="J16" s="395"/>
      <c r="K16" s="395"/>
      <c r="L16" s="396">
        <f>L15/100*5</f>
        <v>309327.5</v>
      </c>
      <c r="M16" s="396">
        <f>L16*12</f>
        <v>3711930</v>
      </c>
      <c r="N16" s="397">
        <f>M16*1.338</f>
        <v>4966562.34</v>
      </c>
    </row>
    <row r="17" spans="1:14" ht="15" thickBot="1">
      <c r="A17" s="194" t="s">
        <v>1269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268"/>
    </row>
    <row r="18" spans="1:14">
      <c r="A18" s="190"/>
      <c r="H18" s="185">
        <v>5079800</v>
      </c>
      <c r="I18">
        <v>98200</v>
      </c>
      <c r="J18">
        <v>743100</v>
      </c>
      <c r="L18" s="185">
        <v>5921100</v>
      </c>
      <c r="M18" s="185">
        <f>L18*12</f>
        <v>71053200</v>
      </c>
      <c r="N18" s="266"/>
    </row>
    <row r="19" spans="1:14" ht="15" thickBot="1">
      <c r="A19" s="191"/>
      <c r="B19" s="192"/>
      <c r="C19" s="192"/>
      <c r="D19" s="192"/>
      <c r="E19" s="192"/>
      <c r="F19" s="192"/>
      <c r="G19" s="192"/>
      <c r="H19" s="192" t="s">
        <v>1268</v>
      </c>
      <c r="I19" s="192"/>
      <c r="J19" s="192"/>
      <c r="K19" s="192"/>
      <c r="L19" s="193">
        <f>L18/100*5</f>
        <v>296055</v>
      </c>
      <c r="M19" s="193">
        <f>L19*10</f>
        <v>2960550</v>
      </c>
      <c r="N19" s="267">
        <f>M19*1.338</f>
        <v>3961215.9000000004</v>
      </c>
    </row>
    <row r="20" spans="1:14">
      <c r="N20" s="185"/>
    </row>
    <row r="21" spans="1:14" ht="15" thickBot="1"/>
    <row r="22" spans="1:14" ht="15" thickBot="1">
      <c r="H22" s="893"/>
      <c r="I22" s="1188">
        <v>2023</v>
      </c>
      <c r="J22" s="1189"/>
      <c r="K22" s="1186">
        <v>2024</v>
      </c>
      <c r="L22" s="1186"/>
      <c r="M22" s="1186">
        <v>2025</v>
      </c>
      <c r="N22" s="1187"/>
    </row>
    <row r="23" spans="1:14" ht="15" thickBot="1">
      <c r="H23" s="899"/>
      <c r="I23" s="900" t="s">
        <v>1270</v>
      </c>
      <c r="J23" s="900" t="s">
        <v>1271</v>
      </c>
      <c r="K23" s="900" t="s">
        <v>1270</v>
      </c>
      <c r="L23" s="900" t="s">
        <v>1271</v>
      </c>
      <c r="M23" s="900" t="s">
        <v>1270</v>
      </c>
      <c r="N23" s="901" t="s">
        <v>1271</v>
      </c>
    </row>
    <row r="24" spans="1:14">
      <c r="H24" s="894" t="s">
        <v>1272</v>
      </c>
      <c r="I24" s="895">
        <v>64.489999999999995</v>
      </c>
      <c r="J24" s="902">
        <v>41211</v>
      </c>
      <c r="K24" s="896">
        <v>67.790000000000006</v>
      </c>
      <c r="L24" s="897">
        <v>44278</v>
      </c>
      <c r="M24" s="896">
        <v>71.02</v>
      </c>
      <c r="N24" s="898">
        <v>46324</v>
      </c>
    </row>
    <row r="25" spans="1:14">
      <c r="H25" s="1017" t="s">
        <v>1273</v>
      </c>
      <c r="I25" s="1018">
        <v>13.3</v>
      </c>
      <c r="J25" s="1019">
        <v>44201</v>
      </c>
      <c r="K25" s="1020">
        <v>12.61</v>
      </c>
      <c r="L25" s="1021">
        <v>46624</v>
      </c>
      <c r="M25" s="1020">
        <v>15</v>
      </c>
      <c r="N25" s="1022">
        <v>49432</v>
      </c>
    </row>
    <row r="26" spans="1:14" ht="15" thickBot="1">
      <c r="H26" s="883" t="s">
        <v>368</v>
      </c>
      <c r="I26" s="891">
        <v>58.3</v>
      </c>
      <c r="J26" s="903">
        <v>43010</v>
      </c>
      <c r="K26" s="884">
        <v>62.99</v>
      </c>
      <c r="L26" s="885">
        <v>45026</v>
      </c>
      <c r="M26" s="884">
        <v>60.83</v>
      </c>
      <c r="N26" s="886">
        <v>45627</v>
      </c>
    </row>
    <row r="27" spans="1:14" ht="15" thickBot="1">
      <c r="H27" s="887" t="s">
        <v>126</v>
      </c>
      <c r="I27" s="892">
        <f>SUM(I24:I26)</f>
        <v>136.08999999999997</v>
      </c>
      <c r="J27" s="904">
        <v>42272</v>
      </c>
      <c r="K27" s="888">
        <f>SUM(K24:K26)</f>
        <v>143.39000000000001</v>
      </c>
      <c r="L27" s="889">
        <v>44813</v>
      </c>
      <c r="M27" s="888">
        <f>SUM(M24:M26)</f>
        <v>146.85</v>
      </c>
      <c r="N27" s="890">
        <v>46353</v>
      </c>
    </row>
  </sheetData>
  <mergeCells count="3">
    <mergeCell ref="K22:L22"/>
    <mergeCell ref="M22:N22"/>
    <mergeCell ref="I22:J2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07F5-F3E1-488A-B41A-E964C4C0BDF3}">
  <dimension ref="A1:AA36"/>
  <sheetViews>
    <sheetView topLeftCell="A10" zoomScale="87" zoomScaleNormal="87" workbookViewId="0">
      <selection activeCell="O32" sqref="O32"/>
    </sheetView>
  </sheetViews>
  <sheetFormatPr defaultColWidth="9.33203125" defaultRowHeight="13.8"/>
  <cols>
    <col min="1" max="1" width="9.33203125" style="1"/>
    <col min="2" max="2" width="30.33203125" style="1" customWidth="1"/>
    <col min="3" max="3" width="9.33203125" style="1"/>
    <col min="4" max="4" width="15.6640625" style="1" customWidth="1"/>
    <col min="5" max="8" width="9.33203125" style="1"/>
    <col min="9" max="9" width="18.6640625" style="1" customWidth="1"/>
    <col min="10" max="10" width="19.6640625" style="1" customWidth="1"/>
    <col min="11" max="20" width="9.33203125" style="1"/>
    <col min="21" max="21" width="13.44140625" style="1" customWidth="1"/>
    <col min="22" max="16384" width="9.33203125" style="1"/>
  </cols>
  <sheetData>
    <row r="1" spans="1:27" ht="69.599999999999994" thickBot="1">
      <c r="C1" s="5" t="s">
        <v>1274</v>
      </c>
      <c r="D1" s="5" t="s">
        <v>1275</v>
      </c>
      <c r="E1" s="5" t="s">
        <v>1276</v>
      </c>
      <c r="F1" s="125" t="s">
        <v>1277</v>
      </c>
      <c r="G1" s="125" t="s">
        <v>1278</v>
      </c>
      <c r="H1" s="5" t="s">
        <v>1279</v>
      </c>
      <c r="I1" s="1023" t="s">
        <v>1280</v>
      </c>
      <c r="J1" s="1023" t="s">
        <v>1281</v>
      </c>
    </row>
    <row r="2" spans="1:27" ht="69" customHeight="1" thickBot="1">
      <c r="A2" s="126"/>
      <c r="B2" s="1" t="s">
        <v>981</v>
      </c>
      <c r="C2" s="1024">
        <v>12100</v>
      </c>
      <c r="D2" s="1024">
        <v>1936</v>
      </c>
      <c r="E2" s="1025">
        <f>E3</f>
        <v>24200</v>
      </c>
      <c r="F2" s="1025">
        <f>F3</f>
        <v>12100</v>
      </c>
      <c r="G2" s="1024">
        <v>968</v>
      </c>
      <c r="H2" s="1024">
        <v>1815</v>
      </c>
      <c r="I2" s="1026" t="s">
        <v>126</v>
      </c>
      <c r="J2" s="1026"/>
      <c r="L2" s="127" t="s">
        <v>1282</v>
      </c>
      <c r="N2" s="128" t="s">
        <v>1283</v>
      </c>
      <c r="O2" s="128" t="s">
        <v>1284</v>
      </c>
      <c r="P2" s="129" t="s">
        <v>1285</v>
      </c>
      <c r="Q2" s="130" t="s">
        <v>1286</v>
      </c>
      <c r="R2" s="130" t="s">
        <v>1287</v>
      </c>
      <c r="S2" s="130" t="s">
        <v>1288</v>
      </c>
      <c r="T2" s="130" t="s">
        <v>1289</v>
      </c>
      <c r="U2" s="130" t="s">
        <v>1290</v>
      </c>
      <c r="V2" s="131" t="s">
        <v>1291</v>
      </c>
      <c r="W2" s="132" t="s">
        <v>1292</v>
      </c>
      <c r="X2" s="131" t="s">
        <v>1293</v>
      </c>
      <c r="Y2" s="133" t="s">
        <v>1294</v>
      </c>
    </row>
    <row r="3" spans="1:27" ht="14.4" thickBot="1">
      <c r="A3" s="134">
        <v>1</v>
      </c>
      <c r="B3" s="122" t="s">
        <v>68</v>
      </c>
      <c r="C3" s="135">
        <v>12100</v>
      </c>
      <c r="D3" s="135">
        <f>D2*L3</f>
        <v>27104</v>
      </c>
      <c r="E3" s="135">
        <v>24200</v>
      </c>
      <c r="F3" s="135">
        <v>12100</v>
      </c>
      <c r="G3" s="135">
        <f>968*L3</f>
        <v>13552</v>
      </c>
      <c r="H3" s="135">
        <f>1815*L3</f>
        <v>25410</v>
      </c>
      <c r="I3" s="1027">
        <f>C3+D3+E3+F3+G3+H3</f>
        <v>114466</v>
      </c>
      <c r="J3" s="1027">
        <f t="shared" ref="J3:J19" si="0">C3+D3+E3+F3+G3+H3</f>
        <v>114466</v>
      </c>
      <c r="K3" s="134">
        <v>30301</v>
      </c>
      <c r="L3" s="136">
        <f>W3</f>
        <v>14</v>
      </c>
      <c r="N3" s="137" t="s">
        <v>1295</v>
      </c>
      <c r="O3" s="138">
        <v>5</v>
      </c>
      <c r="P3" s="139"/>
      <c r="Q3" s="140">
        <v>0</v>
      </c>
      <c r="R3" s="140"/>
      <c r="S3" s="140">
        <v>9</v>
      </c>
      <c r="T3" s="140">
        <v>1</v>
      </c>
      <c r="U3" s="140"/>
      <c r="V3" s="141"/>
      <c r="W3" s="142">
        <v>14</v>
      </c>
      <c r="X3" s="143">
        <v>15</v>
      </c>
      <c r="Y3" s="144">
        <v>-4</v>
      </c>
      <c r="AA3" s="354">
        <v>2350</v>
      </c>
    </row>
    <row r="4" spans="1:27" ht="14.4" thickBot="1">
      <c r="A4" s="134">
        <f>A3+1</f>
        <v>2</v>
      </c>
      <c r="B4" s="122" t="s">
        <v>70</v>
      </c>
      <c r="C4" s="135">
        <v>12100</v>
      </c>
      <c r="D4" s="135">
        <f>D2*L4</f>
        <v>34848</v>
      </c>
      <c r="E4" s="135">
        <v>24200</v>
      </c>
      <c r="F4" s="135">
        <v>12100</v>
      </c>
      <c r="G4" s="135">
        <f>G2*L4</f>
        <v>17424</v>
      </c>
      <c r="H4" s="135">
        <f t="shared" ref="H4:H19" si="1">1815*L4</f>
        <v>32670</v>
      </c>
      <c r="I4" s="1027">
        <f t="shared" ref="I4:I19" si="2">C4+D4+E4+F4+G4+H4</f>
        <v>133342</v>
      </c>
      <c r="J4" s="1027">
        <f t="shared" si="0"/>
        <v>133342</v>
      </c>
      <c r="K4" s="134">
        <v>30302</v>
      </c>
      <c r="L4" s="136">
        <f t="shared" ref="L4:L25" si="3">W4</f>
        <v>18</v>
      </c>
      <c r="N4" s="145" t="s">
        <v>1296</v>
      </c>
      <c r="O4" s="140">
        <v>2</v>
      </c>
      <c r="P4" s="146"/>
      <c r="Q4" s="140">
        <v>2</v>
      </c>
      <c r="R4" s="140"/>
      <c r="S4" s="147">
        <v>16</v>
      </c>
      <c r="T4" s="140">
        <v>2</v>
      </c>
      <c r="U4" s="147">
        <v>1</v>
      </c>
      <c r="V4" s="143"/>
      <c r="W4" s="148">
        <v>18</v>
      </c>
      <c r="X4" s="141">
        <v>23</v>
      </c>
      <c r="Y4" s="144">
        <v>1</v>
      </c>
    </row>
    <row r="5" spans="1:27" ht="14.4" thickBot="1">
      <c r="A5" s="134">
        <f t="shared" ref="A5:A23" si="4">A4+1</f>
        <v>3</v>
      </c>
      <c r="B5" s="122" t="s">
        <v>72</v>
      </c>
      <c r="C5" s="135">
        <v>12100</v>
      </c>
      <c r="D5" s="135">
        <f>D2*L5</f>
        <v>44528</v>
      </c>
      <c r="E5" s="135">
        <v>24200</v>
      </c>
      <c r="F5" s="135">
        <v>12100</v>
      </c>
      <c r="G5" s="135">
        <f t="shared" ref="G5:G19" si="5">968*L5</f>
        <v>22264</v>
      </c>
      <c r="H5" s="135">
        <f t="shared" si="1"/>
        <v>41745</v>
      </c>
      <c r="I5" s="1027">
        <f t="shared" si="2"/>
        <v>156937</v>
      </c>
      <c r="J5" s="1027">
        <f t="shared" si="0"/>
        <v>156937</v>
      </c>
      <c r="K5" s="134">
        <v>30303</v>
      </c>
      <c r="L5" s="136">
        <f t="shared" si="3"/>
        <v>23</v>
      </c>
      <c r="N5" s="137" t="s">
        <v>1297</v>
      </c>
      <c r="O5" s="140">
        <v>2</v>
      </c>
      <c r="P5" s="146"/>
      <c r="Q5" s="140">
        <v>3</v>
      </c>
      <c r="R5" s="140"/>
      <c r="S5" s="140">
        <v>18</v>
      </c>
      <c r="T5" s="140"/>
      <c r="U5" s="140"/>
      <c r="V5" s="143"/>
      <c r="W5" s="142">
        <v>23</v>
      </c>
      <c r="X5" s="143">
        <v>23</v>
      </c>
      <c r="Y5" s="144"/>
    </row>
    <row r="6" spans="1:27" ht="14.4" thickBot="1">
      <c r="A6" s="134">
        <f t="shared" si="4"/>
        <v>4</v>
      </c>
      <c r="B6" s="122" t="s">
        <v>74</v>
      </c>
      <c r="C6" s="135">
        <v>12100</v>
      </c>
      <c r="D6" s="135">
        <f>D2*L6</f>
        <v>40656</v>
      </c>
      <c r="E6" s="135">
        <v>24200</v>
      </c>
      <c r="F6" s="135">
        <v>12100</v>
      </c>
      <c r="G6" s="135">
        <f t="shared" si="5"/>
        <v>20328</v>
      </c>
      <c r="H6" s="135">
        <f t="shared" si="1"/>
        <v>38115</v>
      </c>
      <c r="I6" s="1027">
        <f t="shared" si="2"/>
        <v>147499</v>
      </c>
      <c r="J6" s="1027">
        <f t="shared" si="0"/>
        <v>147499</v>
      </c>
      <c r="K6" s="134">
        <v>30304</v>
      </c>
      <c r="L6" s="136">
        <f t="shared" si="3"/>
        <v>21</v>
      </c>
      <c r="N6" s="149" t="s">
        <v>1298</v>
      </c>
      <c r="O6" s="140">
        <v>3</v>
      </c>
      <c r="P6" s="146">
        <v>1</v>
      </c>
      <c r="Q6" s="140">
        <v>0</v>
      </c>
      <c r="R6" s="140"/>
      <c r="S6" s="140">
        <v>18</v>
      </c>
      <c r="T6" s="140"/>
      <c r="U6" s="140"/>
      <c r="V6" s="143"/>
      <c r="W6" s="148">
        <v>21</v>
      </c>
      <c r="X6" s="141">
        <v>22</v>
      </c>
      <c r="Y6" s="144"/>
    </row>
    <row r="7" spans="1:27" ht="14.4" thickBot="1">
      <c r="A7" s="134">
        <f t="shared" si="4"/>
        <v>5</v>
      </c>
      <c r="B7" s="122" t="s">
        <v>76</v>
      </c>
      <c r="C7" s="135">
        <v>12100</v>
      </c>
      <c r="D7" s="135">
        <f>D2*L7</f>
        <v>42592</v>
      </c>
      <c r="E7" s="135">
        <v>24200</v>
      </c>
      <c r="F7" s="135">
        <v>12100</v>
      </c>
      <c r="G7" s="135">
        <f t="shared" si="5"/>
        <v>21296</v>
      </c>
      <c r="H7" s="135">
        <f t="shared" si="1"/>
        <v>39930</v>
      </c>
      <c r="I7" s="1027">
        <f t="shared" si="2"/>
        <v>152218</v>
      </c>
      <c r="J7" s="1027">
        <f t="shared" si="0"/>
        <v>152218</v>
      </c>
      <c r="K7" s="134">
        <v>30305</v>
      </c>
      <c r="L7" s="136">
        <f t="shared" si="3"/>
        <v>22</v>
      </c>
      <c r="N7" s="149" t="s">
        <v>1299</v>
      </c>
      <c r="O7" s="140">
        <v>4</v>
      </c>
      <c r="P7" s="146"/>
      <c r="Q7" s="140">
        <v>1</v>
      </c>
      <c r="R7" s="140"/>
      <c r="S7" s="140">
        <v>17</v>
      </c>
      <c r="T7" s="140"/>
      <c r="U7" s="140">
        <v>1</v>
      </c>
      <c r="V7" s="143"/>
      <c r="W7" s="142">
        <v>22</v>
      </c>
      <c r="X7" s="143">
        <v>23</v>
      </c>
      <c r="Y7" s="144"/>
    </row>
    <row r="8" spans="1:27" ht="14.4" thickBot="1">
      <c r="A8" s="134">
        <f t="shared" si="4"/>
        <v>6</v>
      </c>
      <c r="B8" s="122" t="s">
        <v>78</v>
      </c>
      <c r="C8" s="135">
        <v>12100</v>
      </c>
      <c r="D8" s="135">
        <f>D2*L8</f>
        <v>23232</v>
      </c>
      <c r="E8" s="135">
        <v>24200</v>
      </c>
      <c r="F8" s="135">
        <v>12100</v>
      </c>
      <c r="G8" s="135">
        <f>G2*L8</f>
        <v>11616</v>
      </c>
      <c r="H8" s="135">
        <f t="shared" si="1"/>
        <v>21780</v>
      </c>
      <c r="I8" s="1027">
        <f t="shared" si="2"/>
        <v>105028</v>
      </c>
      <c r="J8" s="1027">
        <f t="shared" si="0"/>
        <v>105028</v>
      </c>
      <c r="K8" s="134">
        <v>30306</v>
      </c>
      <c r="L8" s="136">
        <f t="shared" si="3"/>
        <v>12</v>
      </c>
      <c r="N8" s="149" t="s">
        <v>1300</v>
      </c>
      <c r="O8" s="140">
        <v>3</v>
      </c>
      <c r="P8" s="146"/>
      <c r="Q8" s="140">
        <v>2</v>
      </c>
      <c r="R8" s="140"/>
      <c r="S8" s="140">
        <v>9</v>
      </c>
      <c r="T8" s="140">
        <v>1</v>
      </c>
      <c r="U8" s="140"/>
      <c r="V8" s="143"/>
      <c r="W8" s="148">
        <v>12</v>
      </c>
      <c r="X8" s="141">
        <v>15</v>
      </c>
      <c r="Y8" s="144">
        <v>-1</v>
      </c>
    </row>
    <row r="9" spans="1:27" ht="14.4" thickBot="1">
      <c r="A9" s="134">
        <f t="shared" si="4"/>
        <v>7</v>
      </c>
      <c r="B9" s="122" t="s">
        <v>80</v>
      </c>
      <c r="C9" s="135">
        <v>12100</v>
      </c>
      <c r="D9" s="135">
        <f>D2*L9</f>
        <v>25168</v>
      </c>
      <c r="E9" s="135">
        <v>24200</v>
      </c>
      <c r="F9" s="135">
        <v>12100</v>
      </c>
      <c r="G9" s="135">
        <f t="shared" si="5"/>
        <v>12584</v>
      </c>
      <c r="H9" s="135">
        <f t="shared" si="1"/>
        <v>23595</v>
      </c>
      <c r="I9" s="1027">
        <f t="shared" si="2"/>
        <v>109747</v>
      </c>
      <c r="J9" s="1027">
        <f t="shared" si="0"/>
        <v>109747</v>
      </c>
      <c r="K9" s="134">
        <v>30307</v>
      </c>
      <c r="L9" s="136">
        <f t="shared" si="3"/>
        <v>13</v>
      </c>
      <c r="N9" s="149" t="s">
        <v>1301</v>
      </c>
      <c r="O9" s="140">
        <v>2</v>
      </c>
      <c r="P9" s="146"/>
      <c r="Q9" s="140">
        <v>0</v>
      </c>
      <c r="R9" s="140"/>
      <c r="S9" s="140">
        <v>11</v>
      </c>
      <c r="T9" s="140"/>
      <c r="U9" s="140">
        <v>5</v>
      </c>
      <c r="V9" s="143"/>
      <c r="W9" s="142">
        <v>13</v>
      </c>
      <c r="X9" s="143">
        <v>18</v>
      </c>
      <c r="Y9" s="144"/>
    </row>
    <row r="10" spans="1:27" ht="14.4" thickBot="1">
      <c r="A10" s="134">
        <f t="shared" si="4"/>
        <v>8</v>
      </c>
      <c r="B10" s="122" t="s">
        <v>82</v>
      </c>
      <c r="C10" s="135">
        <v>12100</v>
      </c>
      <c r="D10" s="135">
        <f t="shared" ref="D10:D19" si="6">1936*L10</f>
        <v>21296</v>
      </c>
      <c r="E10" s="135">
        <v>24200</v>
      </c>
      <c r="F10" s="135">
        <v>12100</v>
      </c>
      <c r="G10" s="135">
        <f t="shared" si="5"/>
        <v>10648</v>
      </c>
      <c r="H10" s="135">
        <f t="shared" si="1"/>
        <v>19965</v>
      </c>
      <c r="I10" s="1027">
        <f t="shared" si="2"/>
        <v>100309</v>
      </c>
      <c r="J10" s="1027">
        <f t="shared" si="0"/>
        <v>100309</v>
      </c>
      <c r="K10" s="134">
        <v>30308</v>
      </c>
      <c r="L10" s="136">
        <f t="shared" si="3"/>
        <v>11</v>
      </c>
      <c r="N10" s="149" t="s">
        <v>1302</v>
      </c>
      <c r="O10" s="140">
        <v>5</v>
      </c>
      <c r="P10" s="146"/>
      <c r="Q10" s="140">
        <v>0</v>
      </c>
      <c r="R10" s="140"/>
      <c r="S10" s="140">
        <v>6</v>
      </c>
      <c r="T10" s="140"/>
      <c r="U10" s="140"/>
      <c r="V10" s="143"/>
      <c r="W10" s="148">
        <v>11</v>
      </c>
      <c r="X10" s="141">
        <v>11</v>
      </c>
      <c r="Y10" s="150">
        <v>3</v>
      </c>
    </row>
    <row r="11" spans="1:27" ht="14.4" thickBot="1">
      <c r="A11" s="134">
        <f t="shared" si="4"/>
        <v>9</v>
      </c>
      <c r="B11" s="122" t="s">
        <v>84</v>
      </c>
      <c r="C11" s="135">
        <v>12100</v>
      </c>
      <c r="D11" s="135">
        <f>D2*L11</f>
        <v>29040</v>
      </c>
      <c r="E11" s="135">
        <v>24200</v>
      </c>
      <c r="F11" s="135">
        <v>12100</v>
      </c>
      <c r="G11" s="135">
        <f t="shared" si="5"/>
        <v>14520</v>
      </c>
      <c r="H11" s="135">
        <f t="shared" si="1"/>
        <v>27225</v>
      </c>
      <c r="I11" s="1027">
        <f>C11+D11+E11+F11+G11+H11</f>
        <v>119185</v>
      </c>
      <c r="J11" s="1027">
        <f t="shared" si="0"/>
        <v>119185</v>
      </c>
      <c r="K11" s="134">
        <v>30309</v>
      </c>
      <c r="L11" s="136">
        <f t="shared" si="3"/>
        <v>15</v>
      </c>
      <c r="N11" s="149" t="s">
        <v>1303</v>
      </c>
      <c r="O11" s="140">
        <v>2</v>
      </c>
      <c r="P11" s="146"/>
      <c r="Q11" s="140">
        <v>4</v>
      </c>
      <c r="R11" s="140"/>
      <c r="S11" s="140">
        <v>9</v>
      </c>
      <c r="T11" s="140">
        <v>2</v>
      </c>
      <c r="U11" s="140">
        <v>1</v>
      </c>
      <c r="V11" s="143"/>
      <c r="W11" s="142">
        <v>15</v>
      </c>
      <c r="X11" s="143">
        <v>18</v>
      </c>
      <c r="Y11" s="144"/>
    </row>
    <row r="12" spans="1:27" ht="14.4" thickBot="1">
      <c r="A12" s="134">
        <f t="shared" si="4"/>
        <v>10</v>
      </c>
      <c r="B12" s="123" t="s">
        <v>86</v>
      </c>
      <c r="C12" s="135">
        <v>12100</v>
      </c>
      <c r="D12" s="135">
        <f t="shared" si="6"/>
        <v>40656</v>
      </c>
      <c r="E12" s="135">
        <v>24200</v>
      </c>
      <c r="F12" s="135">
        <v>12100</v>
      </c>
      <c r="G12" s="135">
        <f t="shared" si="5"/>
        <v>20328</v>
      </c>
      <c r="H12" s="135">
        <f t="shared" si="1"/>
        <v>38115</v>
      </c>
      <c r="I12" s="1027">
        <f t="shared" si="2"/>
        <v>147499</v>
      </c>
      <c r="J12" s="1027">
        <f t="shared" si="0"/>
        <v>147499</v>
      </c>
      <c r="K12" s="134">
        <v>30310</v>
      </c>
      <c r="L12" s="136">
        <f t="shared" si="3"/>
        <v>21</v>
      </c>
      <c r="N12" s="149" t="s">
        <v>1304</v>
      </c>
      <c r="O12" s="140">
        <v>3</v>
      </c>
      <c r="P12" s="146"/>
      <c r="Q12" s="140">
        <v>1</v>
      </c>
      <c r="R12" s="140"/>
      <c r="S12" s="140">
        <v>18</v>
      </c>
      <c r="T12" s="140"/>
      <c r="U12" s="140"/>
      <c r="V12" s="143"/>
      <c r="W12" s="148">
        <v>21</v>
      </c>
      <c r="X12" s="141">
        <v>22</v>
      </c>
      <c r="Y12" s="144">
        <v>-1</v>
      </c>
    </row>
    <row r="13" spans="1:27" ht="14.4" thickBot="1">
      <c r="A13" s="134">
        <f t="shared" si="4"/>
        <v>11</v>
      </c>
      <c r="B13" s="122" t="s">
        <v>88</v>
      </c>
      <c r="C13" s="135">
        <v>12100</v>
      </c>
      <c r="D13" s="135">
        <f t="shared" si="6"/>
        <v>36784</v>
      </c>
      <c r="E13" s="135">
        <v>24200</v>
      </c>
      <c r="F13" s="135">
        <v>12100</v>
      </c>
      <c r="G13" s="135">
        <f t="shared" si="5"/>
        <v>18392</v>
      </c>
      <c r="H13" s="135">
        <f t="shared" si="1"/>
        <v>34485</v>
      </c>
      <c r="I13" s="1027">
        <f t="shared" si="2"/>
        <v>138061</v>
      </c>
      <c r="J13" s="1027">
        <f t="shared" si="0"/>
        <v>138061</v>
      </c>
      <c r="K13" s="134">
        <v>30311</v>
      </c>
      <c r="L13" s="136">
        <f t="shared" si="3"/>
        <v>19</v>
      </c>
      <c r="N13" s="149" t="s">
        <v>1305</v>
      </c>
      <c r="O13" s="140">
        <v>1</v>
      </c>
      <c r="P13" s="146"/>
      <c r="Q13" s="140">
        <v>6</v>
      </c>
      <c r="R13" s="140"/>
      <c r="S13" s="140">
        <v>12</v>
      </c>
      <c r="T13" s="140">
        <v>1</v>
      </c>
      <c r="U13" s="140">
        <v>1</v>
      </c>
      <c r="V13" s="143"/>
      <c r="W13" s="142">
        <v>19</v>
      </c>
      <c r="X13" s="143">
        <v>21</v>
      </c>
      <c r="Y13" s="150"/>
    </row>
    <row r="14" spans="1:27" ht="14.4" thickBot="1">
      <c r="A14" s="134">
        <f t="shared" si="4"/>
        <v>12</v>
      </c>
      <c r="B14" s="122" t="s">
        <v>90</v>
      </c>
      <c r="C14" s="135">
        <v>12100</v>
      </c>
      <c r="D14" s="135">
        <f t="shared" si="6"/>
        <v>34848</v>
      </c>
      <c r="E14" s="135">
        <v>24200</v>
      </c>
      <c r="F14" s="135">
        <v>12100</v>
      </c>
      <c r="G14" s="135">
        <f t="shared" si="5"/>
        <v>17424</v>
      </c>
      <c r="H14" s="135">
        <f t="shared" si="1"/>
        <v>32670</v>
      </c>
      <c r="I14" s="1027">
        <f t="shared" si="2"/>
        <v>133342</v>
      </c>
      <c r="J14" s="1027">
        <f t="shared" si="0"/>
        <v>133342</v>
      </c>
      <c r="K14" s="134">
        <v>30312</v>
      </c>
      <c r="L14" s="136">
        <f t="shared" si="3"/>
        <v>18</v>
      </c>
      <c r="N14" s="149" t="s">
        <v>1306</v>
      </c>
      <c r="O14" s="140">
        <v>2</v>
      </c>
      <c r="P14" s="146"/>
      <c r="Q14" s="140">
        <v>2</v>
      </c>
      <c r="R14" s="140"/>
      <c r="S14" s="140">
        <v>16</v>
      </c>
      <c r="T14" s="140"/>
      <c r="U14" s="140">
        <v>3</v>
      </c>
      <c r="V14" s="143"/>
      <c r="W14" s="148">
        <v>18</v>
      </c>
      <c r="X14" s="141">
        <v>23</v>
      </c>
      <c r="Y14" s="144">
        <v>4</v>
      </c>
    </row>
    <row r="15" spans="1:27" ht="14.4" thickBot="1">
      <c r="A15" s="134">
        <f t="shared" si="4"/>
        <v>13</v>
      </c>
      <c r="B15" s="122" t="s">
        <v>93</v>
      </c>
      <c r="C15" s="135">
        <v>12100</v>
      </c>
      <c r="D15" s="135">
        <f t="shared" si="6"/>
        <v>44528</v>
      </c>
      <c r="E15" s="135">
        <v>24200</v>
      </c>
      <c r="F15" s="135">
        <v>12100</v>
      </c>
      <c r="G15" s="135">
        <f t="shared" si="5"/>
        <v>22264</v>
      </c>
      <c r="H15" s="135">
        <f t="shared" si="1"/>
        <v>41745</v>
      </c>
      <c r="I15" s="1027">
        <f t="shared" si="2"/>
        <v>156937</v>
      </c>
      <c r="J15" s="1027">
        <f t="shared" si="0"/>
        <v>156937</v>
      </c>
      <c r="K15" s="134">
        <v>30313</v>
      </c>
      <c r="L15" s="136">
        <f t="shared" si="3"/>
        <v>23</v>
      </c>
      <c r="N15" s="149" t="s">
        <v>1307</v>
      </c>
      <c r="O15" s="140">
        <v>1</v>
      </c>
      <c r="P15" s="151"/>
      <c r="Q15" s="152">
        <v>6</v>
      </c>
      <c r="R15" s="152"/>
      <c r="S15" s="140">
        <v>16</v>
      </c>
      <c r="T15" s="140">
        <v>1</v>
      </c>
      <c r="U15" s="140">
        <v>4</v>
      </c>
      <c r="V15" s="143"/>
      <c r="W15" s="142">
        <v>23</v>
      </c>
      <c r="X15" s="143">
        <v>28</v>
      </c>
      <c r="Y15" s="144">
        <v>1</v>
      </c>
    </row>
    <row r="16" spans="1:27" ht="14.4" thickBot="1">
      <c r="A16" s="134">
        <f t="shared" si="4"/>
        <v>14</v>
      </c>
      <c r="B16" s="122" t="s">
        <v>95</v>
      </c>
      <c r="C16" s="135">
        <v>12100</v>
      </c>
      <c r="D16" s="135">
        <f t="shared" si="6"/>
        <v>27104</v>
      </c>
      <c r="E16" s="135">
        <v>24200</v>
      </c>
      <c r="F16" s="135">
        <v>12100</v>
      </c>
      <c r="G16" s="135">
        <f t="shared" si="5"/>
        <v>13552</v>
      </c>
      <c r="H16" s="135">
        <f t="shared" si="1"/>
        <v>25410</v>
      </c>
      <c r="I16" s="1027">
        <f t="shared" si="2"/>
        <v>114466</v>
      </c>
      <c r="J16" s="1027">
        <f t="shared" si="0"/>
        <v>114466</v>
      </c>
      <c r="K16" s="134">
        <v>30314</v>
      </c>
      <c r="L16" s="136">
        <f t="shared" si="3"/>
        <v>14</v>
      </c>
      <c r="N16" s="137" t="s">
        <v>1308</v>
      </c>
      <c r="O16" s="140">
        <v>1</v>
      </c>
      <c r="P16" s="1028"/>
      <c r="Q16" s="1029">
        <v>3</v>
      </c>
      <c r="R16" s="1029"/>
      <c r="S16" s="140">
        <v>13</v>
      </c>
      <c r="T16" s="140"/>
      <c r="U16" s="140"/>
      <c r="V16" s="143"/>
      <c r="W16" s="148">
        <v>14</v>
      </c>
      <c r="X16" s="141">
        <v>17</v>
      </c>
      <c r="Y16" s="144">
        <v>-1</v>
      </c>
    </row>
    <row r="17" spans="1:25" ht="14.4" thickBot="1">
      <c r="A17" s="134">
        <f t="shared" si="4"/>
        <v>15</v>
      </c>
      <c r="B17" s="122" t="s">
        <v>97</v>
      </c>
      <c r="C17" s="135">
        <v>12100</v>
      </c>
      <c r="D17" s="135">
        <f t="shared" si="6"/>
        <v>32912</v>
      </c>
      <c r="E17" s="135">
        <v>24200</v>
      </c>
      <c r="F17" s="135">
        <v>12100</v>
      </c>
      <c r="G17" s="135">
        <f t="shared" si="5"/>
        <v>16456</v>
      </c>
      <c r="H17" s="135">
        <f t="shared" si="1"/>
        <v>30855</v>
      </c>
      <c r="I17" s="1027">
        <f t="shared" si="2"/>
        <v>128623</v>
      </c>
      <c r="J17" s="1027">
        <f t="shared" si="0"/>
        <v>128623</v>
      </c>
      <c r="K17" s="134">
        <v>30315</v>
      </c>
      <c r="L17" s="136">
        <f t="shared" si="3"/>
        <v>17</v>
      </c>
      <c r="N17" s="137" t="s">
        <v>1309</v>
      </c>
      <c r="O17" s="140">
        <v>2</v>
      </c>
      <c r="P17" s="1028"/>
      <c r="Q17" s="1029">
        <v>3</v>
      </c>
      <c r="R17" s="1029"/>
      <c r="S17" s="140">
        <v>12</v>
      </c>
      <c r="T17" s="140">
        <v>2</v>
      </c>
      <c r="U17" s="140">
        <v>2</v>
      </c>
      <c r="V17" s="143">
        <v>1</v>
      </c>
      <c r="W17" s="142">
        <v>17</v>
      </c>
      <c r="X17" s="143">
        <v>22</v>
      </c>
      <c r="Y17" s="150">
        <v>-1</v>
      </c>
    </row>
    <row r="18" spans="1:25" ht="14.4" thickBot="1">
      <c r="A18" s="134">
        <f t="shared" si="4"/>
        <v>16</v>
      </c>
      <c r="B18" s="122" t="s">
        <v>99</v>
      </c>
      <c r="C18" s="135">
        <v>12100</v>
      </c>
      <c r="D18" s="135">
        <f t="shared" si="6"/>
        <v>34848</v>
      </c>
      <c r="E18" s="135">
        <v>24200</v>
      </c>
      <c r="F18" s="135">
        <v>12100</v>
      </c>
      <c r="G18" s="135">
        <f t="shared" si="5"/>
        <v>17424</v>
      </c>
      <c r="H18" s="135">
        <f t="shared" si="1"/>
        <v>32670</v>
      </c>
      <c r="I18" s="1027">
        <f t="shared" si="2"/>
        <v>133342</v>
      </c>
      <c r="J18" s="1027">
        <f t="shared" si="0"/>
        <v>133342</v>
      </c>
      <c r="K18" s="134">
        <v>30316</v>
      </c>
      <c r="L18" s="136">
        <f>W18+W21</f>
        <v>18</v>
      </c>
      <c r="N18" s="137" t="s">
        <v>1310</v>
      </c>
      <c r="O18" s="153"/>
      <c r="P18" s="1030"/>
      <c r="Q18" s="1031"/>
      <c r="R18" s="1031"/>
      <c r="S18" s="140">
        <v>14</v>
      </c>
      <c r="T18" s="140"/>
      <c r="U18" s="140"/>
      <c r="V18" s="143"/>
      <c r="W18" s="178">
        <v>14</v>
      </c>
      <c r="X18" s="141">
        <v>14</v>
      </c>
      <c r="Y18" s="144"/>
    </row>
    <row r="19" spans="1:25" ht="14.4" thickBot="1">
      <c r="A19" s="134">
        <f t="shared" si="4"/>
        <v>17</v>
      </c>
      <c r="B19" s="123" t="s">
        <v>101</v>
      </c>
      <c r="C19" s="135">
        <v>12100</v>
      </c>
      <c r="D19" s="135">
        <f t="shared" si="6"/>
        <v>21296</v>
      </c>
      <c r="E19" s="135">
        <v>24200</v>
      </c>
      <c r="F19" s="135">
        <v>12100</v>
      </c>
      <c r="G19" s="135">
        <f t="shared" si="5"/>
        <v>10648</v>
      </c>
      <c r="H19" s="135">
        <f t="shared" si="1"/>
        <v>19965</v>
      </c>
      <c r="I19" s="1027">
        <f t="shared" si="2"/>
        <v>100309</v>
      </c>
      <c r="J19" s="1027">
        <f t="shared" si="0"/>
        <v>100309</v>
      </c>
      <c r="K19" s="134">
        <v>30317</v>
      </c>
      <c r="L19" s="136">
        <f t="shared" si="3"/>
        <v>11</v>
      </c>
      <c r="N19" s="149" t="s">
        <v>1311</v>
      </c>
      <c r="O19" s="153"/>
      <c r="P19" s="1030"/>
      <c r="Q19" s="1031"/>
      <c r="R19" s="1031"/>
      <c r="S19" s="140">
        <v>11</v>
      </c>
      <c r="T19" s="140"/>
      <c r="U19" s="140"/>
      <c r="V19" s="143"/>
      <c r="W19" s="142">
        <v>11</v>
      </c>
      <c r="X19" s="143">
        <v>11</v>
      </c>
      <c r="Y19" s="144"/>
    </row>
    <row r="20" spans="1:25" ht="14.4" thickBot="1">
      <c r="A20" s="134">
        <f t="shared" si="4"/>
        <v>18</v>
      </c>
      <c r="B20" s="122" t="s">
        <v>103</v>
      </c>
      <c r="C20" s="135">
        <v>12100</v>
      </c>
      <c r="D20" s="135">
        <f>1936*L20</f>
        <v>34848</v>
      </c>
      <c r="E20" s="135">
        <v>24200</v>
      </c>
      <c r="F20" s="135">
        <v>12100</v>
      </c>
      <c r="G20" s="135">
        <f>968*L20</f>
        <v>17424</v>
      </c>
      <c r="H20" s="135">
        <f>1815*L20</f>
        <v>32670</v>
      </c>
      <c r="I20" s="1027">
        <f t="shared" ref="I20:I27" si="7">C20+D20+E20+F20+G20+H20</f>
        <v>133342</v>
      </c>
      <c r="J20" s="1027">
        <f>C20+D20+E20+F20+G20+H20</f>
        <v>133342</v>
      </c>
      <c r="K20" s="134">
        <v>30318</v>
      </c>
      <c r="L20" s="136">
        <f>W23</f>
        <v>18</v>
      </c>
      <c r="N20" s="149" t="s">
        <v>1312</v>
      </c>
      <c r="O20" s="153"/>
      <c r="P20" s="1030"/>
      <c r="Q20" s="1031"/>
      <c r="R20" s="1031"/>
      <c r="S20" s="140">
        <v>4</v>
      </c>
      <c r="T20" s="140"/>
      <c r="U20" s="140"/>
      <c r="V20" s="143"/>
      <c r="W20" s="178">
        <v>4</v>
      </c>
      <c r="X20" s="141">
        <v>4</v>
      </c>
      <c r="Y20" s="144"/>
    </row>
    <row r="21" spans="1:25" ht="14.4" thickBot="1">
      <c r="A21" s="134">
        <f t="shared" si="4"/>
        <v>19</v>
      </c>
      <c r="B21" s="122" t="s">
        <v>105</v>
      </c>
      <c r="C21" s="135"/>
      <c r="D21" s="135"/>
      <c r="E21" s="135"/>
      <c r="F21" s="135"/>
      <c r="G21" s="135"/>
      <c r="H21" s="135"/>
      <c r="I21" s="1027">
        <f t="shared" si="7"/>
        <v>0</v>
      </c>
      <c r="J21" s="1027">
        <f t="shared" ref="J21:J26" si="8">C21+D21+E21+F21+G21+H21</f>
        <v>0</v>
      </c>
      <c r="K21" s="134">
        <v>30319</v>
      </c>
      <c r="L21" s="136">
        <f t="shared" si="3"/>
        <v>4</v>
      </c>
      <c r="N21" s="149" t="s">
        <v>1313</v>
      </c>
      <c r="O21" s="153"/>
      <c r="P21" s="1030"/>
      <c r="Q21" s="1031"/>
      <c r="R21" s="1031"/>
      <c r="S21" s="140">
        <v>4</v>
      </c>
      <c r="T21" s="140"/>
      <c r="U21" s="140"/>
      <c r="V21" s="143"/>
      <c r="W21" s="142">
        <v>4</v>
      </c>
      <c r="X21" s="143">
        <v>4</v>
      </c>
      <c r="Y21" s="150"/>
    </row>
    <row r="22" spans="1:25" ht="14.4" thickBot="1">
      <c r="A22" s="134">
        <f t="shared" si="4"/>
        <v>20</v>
      </c>
      <c r="B22" s="157" t="s">
        <v>1314</v>
      </c>
      <c r="C22" s="135"/>
      <c r="D22" s="135"/>
      <c r="E22" s="135"/>
      <c r="F22" s="135"/>
      <c r="G22" s="135"/>
      <c r="H22" s="135"/>
      <c r="I22" s="1027">
        <f t="shared" si="7"/>
        <v>0</v>
      </c>
      <c r="J22" s="1027">
        <f t="shared" si="8"/>
        <v>0</v>
      </c>
      <c r="K22" s="156">
        <v>30320</v>
      </c>
      <c r="L22" s="136">
        <f t="shared" si="3"/>
        <v>0</v>
      </c>
      <c r="N22" s="149" t="s">
        <v>1315</v>
      </c>
      <c r="O22" s="153"/>
      <c r="P22" s="1030"/>
      <c r="Q22" s="1029">
        <v>4</v>
      </c>
      <c r="R22" s="1029"/>
      <c r="S22" s="153"/>
      <c r="T22" s="153"/>
      <c r="U22" s="140"/>
      <c r="V22" s="143"/>
      <c r="W22" s="148">
        <v>0</v>
      </c>
      <c r="X22" s="141">
        <v>4</v>
      </c>
      <c r="Y22" s="150"/>
    </row>
    <row r="23" spans="1:25" ht="14.4" thickBot="1">
      <c r="A23" s="134">
        <f t="shared" si="4"/>
        <v>21</v>
      </c>
      <c r="B23" s="122" t="s">
        <v>1316</v>
      </c>
      <c r="C23" s="135"/>
      <c r="D23" s="135"/>
      <c r="E23" s="135"/>
      <c r="F23" s="135"/>
      <c r="G23" s="135"/>
      <c r="H23" s="135"/>
      <c r="I23" s="1027">
        <f t="shared" si="7"/>
        <v>0</v>
      </c>
      <c r="J23" s="1027">
        <f t="shared" si="8"/>
        <v>0</v>
      </c>
      <c r="K23" s="134">
        <v>30321</v>
      </c>
      <c r="L23" s="136">
        <f t="shared" si="3"/>
        <v>18</v>
      </c>
      <c r="N23" s="149" t="s">
        <v>1317</v>
      </c>
      <c r="O23" s="153"/>
      <c r="P23" s="1030"/>
      <c r="Q23" s="1029">
        <v>18</v>
      </c>
      <c r="R23" s="1029"/>
      <c r="S23" s="153"/>
      <c r="T23" s="153"/>
      <c r="U23" s="140" t="s">
        <v>1318</v>
      </c>
      <c r="V23" s="143"/>
      <c r="W23" s="142">
        <v>18</v>
      </c>
      <c r="X23" s="143">
        <v>18</v>
      </c>
      <c r="Y23" s="144">
        <v>-1</v>
      </c>
    </row>
    <row r="24" spans="1:25" ht="14.4" thickBot="1">
      <c r="A24" s="134"/>
      <c r="B24" s="122" t="s">
        <v>109</v>
      </c>
      <c r="C24" s="135"/>
      <c r="D24" s="135"/>
      <c r="E24" s="135"/>
      <c r="F24" s="135"/>
      <c r="G24" s="135"/>
      <c r="H24" s="135"/>
      <c r="I24" s="1027">
        <f t="shared" si="7"/>
        <v>0</v>
      </c>
      <c r="J24" s="1027">
        <f t="shared" si="8"/>
        <v>0</v>
      </c>
      <c r="K24" s="134">
        <v>30322</v>
      </c>
      <c r="L24" s="136">
        <f t="shared" si="3"/>
        <v>0</v>
      </c>
      <c r="N24" s="149" t="s">
        <v>1319</v>
      </c>
      <c r="O24" s="153"/>
      <c r="P24" s="154"/>
      <c r="Q24" s="154"/>
      <c r="R24" s="154"/>
      <c r="S24" s="155"/>
      <c r="T24" s="155"/>
      <c r="U24" s="152">
        <v>2</v>
      </c>
      <c r="V24" s="143">
        <v>2</v>
      </c>
      <c r="W24" s="142">
        <v>0</v>
      </c>
      <c r="X24" s="143">
        <v>4</v>
      </c>
      <c r="Y24" s="144"/>
    </row>
    <row r="25" spans="1:25" ht="14.4" thickBot="1">
      <c r="A25" s="156"/>
      <c r="B25" s="122" t="s">
        <v>1320</v>
      </c>
      <c r="C25" s="135"/>
      <c r="D25" s="135"/>
      <c r="E25" s="135"/>
      <c r="F25" s="135"/>
      <c r="G25" s="135"/>
      <c r="H25" s="135"/>
      <c r="I25" s="1027">
        <f t="shared" si="7"/>
        <v>0</v>
      </c>
      <c r="J25" s="1027">
        <f t="shared" si="8"/>
        <v>0</v>
      </c>
      <c r="K25" s="134">
        <v>30323</v>
      </c>
      <c r="L25" s="136">
        <f t="shared" si="3"/>
        <v>0</v>
      </c>
      <c r="N25" s="149" t="s">
        <v>1321</v>
      </c>
      <c r="O25" s="153"/>
      <c r="P25" s="158"/>
      <c r="Q25" s="159"/>
      <c r="R25" s="160"/>
      <c r="S25" s="160"/>
      <c r="T25" s="160"/>
      <c r="U25" s="161">
        <v>11</v>
      </c>
      <c r="V25" s="162">
        <v>1</v>
      </c>
      <c r="W25" s="148">
        <v>0</v>
      </c>
      <c r="X25" s="141">
        <v>12</v>
      </c>
      <c r="Y25" s="144"/>
    </row>
    <row r="26" spans="1:25" ht="14.4" thickBot="1">
      <c r="A26" s="134"/>
      <c r="B26" s="122" t="s">
        <v>1322</v>
      </c>
      <c r="C26" s="135">
        <f>12100/12*4</f>
        <v>4033.3333333333335</v>
      </c>
      <c r="D26" s="135">
        <f>1936*L26/12*4</f>
        <v>0</v>
      </c>
      <c r="E26" s="135">
        <f>24200/12*4</f>
        <v>8066.666666666667</v>
      </c>
      <c r="F26" s="135">
        <f>12100/12*4</f>
        <v>4033.3333333333335</v>
      </c>
      <c r="G26" s="135">
        <f>968*L26/12*4</f>
        <v>0</v>
      </c>
      <c r="H26" s="135">
        <f>1815*L26/12*4</f>
        <v>0</v>
      </c>
      <c r="I26" s="1027">
        <f t="shared" si="7"/>
        <v>16133.333333333334</v>
      </c>
      <c r="J26" s="1027">
        <f t="shared" si="8"/>
        <v>16133.333333333334</v>
      </c>
      <c r="K26" s="134">
        <v>30324</v>
      </c>
      <c r="L26" s="163">
        <v>0</v>
      </c>
      <c r="N26" s="164" t="s">
        <v>1323</v>
      </c>
      <c r="O26" s="165">
        <v>38</v>
      </c>
      <c r="P26" s="166">
        <v>1</v>
      </c>
      <c r="Q26" s="165">
        <v>55</v>
      </c>
      <c r="R26" s="167">
        <v>0</v>
      </c>
      <c r="S26" s="168">
        <v>233</v>
      </c>
      <c r="T26" s="167">
        <v>10</v>
      </c>
      <c r="U26" s="167">
        <v>31</v>
      </c>
      <c r="V26" s="169">
        <v>4</v>
      </c>
      <c r="W26" s="170">
        <v>312</v>
      </c>
      <c r="X26" s="171">
        <v>372</v>
      </c>
      <c r="Y26" s="172">
        <v>0</v>
      </c>
    </row>
    <row r="27" spans="1:25" ht="21.6">
      <c r="A27" s="134"/>
      <c r="B27" s="179" t="str">
        <f>'[2]Ateliéry 2025'!C27</f>
        <v xml:space="preserve">RMUD-Restaurovani moderních uměleckých del z netradičních materialu </v>
      </c>
      <c r="C27" s="135">
        <f>12100/12*4</f>
        <v>4033.3333333333335</v>
      </c>
      <c r="D27" s="135">
        <f>1936*L27/12*4</f>
        <v>2581.3333333333335</v>
      </c>
      <c r="E27" s="135">
        <f>24200/12*4</f>
        <v>8066.666666666667</v>
      </c>
      <c r="F27" s="135">
        <f>12100/12*4</f>
        <v>4033.3333333333335</v>
      </c>
      <c r="G27" s="135">
        <f>968*L27/12*4</f>
        <v>1290.6666666666667</v>
      </c>
      <c r="H27" s="135">
        <f>1815*L27/12*4</f>
        <v>2420</v>
      </c>
      <c r="I27" s="1027">
        <f t="shared" si="7"/>
        <v>22425.333333333336</v>
      </c>
      <c r="J27" s="1027">
        <f>C27+D27+E27+F27+G27+H27</f>
        <v>22425.333333333336</v>
      </c>
      <c r="K27" s="176" t="str">
        <f>'[2]Ateliéry 2025'!A27</f>
        <v>30325</v>
      </c>
      <c r="L27" s="163">
        <v>4</v>
      </c>
      <c r="N27" s="173"/>
      <c r="O27" s="174"/>
      <c r="P27" s="174"/>
      <c r="Q27" s="174"/>
      <c r="R27" s="174"/>
      <c r="S27" s="174"/>
      <c r="T27" s="174"/>
      <c r="U27" s="174"/>
      <c r="V27" s="175"/>
      <c r="W27" s="174"/>
    </row>
    <row r="28" spans="1:25">
      <c r="J28" s="3">
        <f>SUM(J3:J27)</f>
        <v>2363210.666666667</v>
      </c>
    </row>
    <row r="29" spans="1:25">
      <c r="L29" s="3">
        <f>D18+G18+H18</f>
        <v>84942</v>
      </c>
    </row>
    <row r="32" spans="1:25">
      <c r="B32" s="177"/>
    </row>
    <row r="36" spans="2:12" ht="27">
      <c r="B36" s="124" t="s">
        <v>1324</v>
      </c>
      <c r="C36" s="135">
        <v>12101</v>
      </c>
      <c r="D36" s="135" t="e">
        <f>#REF!*$AL$63</f>
        <v>#REF!</v>
      </c>
      <c r="E36" s="135">
        <v>24200</v>
      </c>
      <c r="F36" s="135">
        <v>12100</v>
      </c>
      <c r="G36" s="135" t="e">
        <f t="shared" ref="G36" si="9">968*L36</f>
        <v>#REF!</v>
      </c>
      <c r="H36" s="135" t="e">
        <f t="shared" ref="H36" si="10">1815*L36</f>
        <v>#REF!</v>
      </c>
      <c r="I36" s="1027" t="e">
        <f>C36+D36+E36+F36+G36+H36</f>
        <v>#REF!</v>
      </c>
      <c r="J36" s="1032" t="e">
        <f>#REF!+I36</f>
        <v>#REF!</v>
      </c>
      <c r="K36" s="134"/>
      <c r="L36" s="134" t="e">
        <f>#REF!</f>
        <v>#REF!</v>
      </c>
    </row>
  </sheetData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555FC-D7D5-44A8-B6D2-E6A13F061964}">
  <dimension ref="A1:CD70"/>
  <sheetViews>
    <sheetView topLeftCell="A18" zoomScale="91" zoomScaleNormal="91" workbookViewId="0">
      <selection activeCell="B79" sqref="B79"/>
    </sheetView>
  </sheetViews>
  <sheetFormatPr defaultColWidth="8.88671875" defaultRowHeight="14.4"/>
  <cols>
    <col min="1" max="1" width="15.33203125" customWidth="1"/>
    <col min="2" max="2" width="23.88671875" customWidth="1"/>
    <col min="3" max="3" width="12.44140625" hidden="1" customWidth="1"/>
    <col min="4" max="4" width="16.44140625" hidden="1" customWidth="1"/>
    <col min="5" max="5" width="13.5546875" hidden="1" customWidth="1"/>
    <col min="6" max="6" width="19.44140625" hidden="1" customWidth="1"/>
    <col min="7" max="7" width="22.5546875" hidden="1" customWidth="1"/>
    <col min="8" max="8" width="18.44140625" hidden="1" customWidth="1"/>
    <col min="9" max="10" width="15.5546875" hidden="1" customWidth="1"/>
    <col min="11" max="11" width="20.5546875" hidden="1" customWidth="1"/>
    <col min="12" max="12" width="14.33203125" hidden="1" customWidth="1"/>
    <col min="13" max="13" width="13.33203125" hidden="1" customWidth="1"/>
    <col min="14" max="14" width="14" hidden="1" customWidth="1"/>
    <col min="15" max="17" width="17.44140625" hidden="1" customWidth="1"/>
    <col min="18" max="18" width="15.33203125" hidden="1" customWidth="1"/>
    <col min="19" max="19" width="17.44140625" hidden="1" customWidth="1"/>
    <col min="20" max="20" width="16.5546875" hidden="1" customWidth="1"/>
    <col min="21" max="21" width="21.5546875" hidden="1" customWidth="1"/>
    <col min="22" max="22" width="19.6640625" hidden="1" customWidth="1"/>
    <col min="23" max="23" width="15.44140625" hidden="1" customWidth="1"/>
    <col min="24" max="24" width="0.33203125" customWidth="1"/>
    <col min="25" max="25" width="17.6640625" hidden="1" customWidth="1"/>
    <col min="26" max="26" width="18.44140625" hidden="1" customWidth="1"/>
    <col min="27" max="27" width="15.88671875" hidden="1" customWidth="1"/>
    <col min="28" max="28" width="15.109375" hidden="1" customWidth="1"/>
    <col min="29" max="29" width="13" hidden="1" customWidth="1"/>
    <col min="30" max="30" width="15.88671875" hidden="1" customWidth="1"/>
    <col min="31" max="31" width="17.88671875" hidden="1" customWidth="1"/>
    <col min="32" max="32" width="15.88671875" hidden="1" customWidth="1"/>
    <col min="33" max="33" width="17.6640625" hidden="1" customWidth="1"/>
    <col min="34" max="34" width="19.44140625" hidden="1" customWidth="1"/>
    <col min="35" max="35" width="19.33203125" style="401" hidden="1" customWidth="1"/>
    <col min="36" max="36" width="11.88671875" style="401" hidden="1" customWidth="1"/>
    <col min="37" max="37" width="15.33203125" hidden="1" customWidth="1"/>
    <col min="38" max="38" width="13.44140625" hidden="1" customWidth="1"/>
    <col min="39" max="39" width="9.33203125" hidden="1" customWidth="1"/>
    <col min="40" max="40" width="16.109375" hidden="1" customWidth="1"/>
    <col min="41" max="41" width="17.88671875" hidden="1" customWidth="1"/>
    <col min="42" max="43" width="14.44140625" hidden="1" customWidth="1"/>
    <col min="44" max="44" width="15.109375" hidden="1" customWidth="1"/>
    <col min="45" max="45" width="17" hidden="1" customWidth="1"/>
    <col min="46" max="46" width="14.33203125" bestFit="1" customWidth="1"/>
    <col min="47" max="47" width="12.33203125" customWidth="1"/>
    <col min="48" max="48" width="12.44140625" customWidth="1"/>
    <col min="49" max="49" width="11.6640625" hidden="1" customWidth="1"/>
    <col min="50" max="50" width="12.88671875" bestFit="1" customWidth="1"/>
    <col min="51" max="51" width="12.6640625" customWidth="1"/>
    <col min="52" max="52" width="14.5546875" hidden="1" customWidth="1"/>
    <col min="53" max="53" width="14.88671875" hidden="1" customWidth="1"/>
    <col min="54" max="54" width="23.88671875" hidden="1" customWidth="1"/>
    <col min="55" max="55" width="31.109375" hidden="1" customWidth="1"/>
    <col min="56" max="56" width="21.33203125" hidden="1" customWidth="1"/>
    <col min="57" max="57" width="15.6640625" hidden="1" customWidth="1"/>
    <col min="58" max="58" width="8.88671875" hidden="1" customWidth="1"/>
    <col min="59" max="59" width="23.109375" hidden="1" customWidth="1"/>
    <col min="60" max="62" width="8.88671875" hidden="1" customWidth="1"/>
    <col min="63" max="63" width="12.33203125" hidden="1" customWidth="1"/>
    <col min="64" max="64" width="8.88671875" hidden="1" customWidth="1"/>
    <col min="65" max="65" width="11" hidden="1" customWidth="1"/>
    <col min="66" max="66" width="24.44140625" hidden="1" customWidth="1"/>
    <col min="67" max="67" width="20.33203125" hidden="1" customWidth="1"/>
    <col min="68" max="68" width="14.88671875" hidden="1" customWidth="1"/>
    <col min="69" max="69" width="19.33203125" hidden="1" customWidth="1"/>
    <col min="70" max="70" width="8.88671875" hidden="1" customWidth="1"/>
    <col min="71" max="71" width="16.6640625" hidden="1" customWidth="1"/>
    <col min="72" max="72" width="21.5546875" hidden="1" customWidth="1"/>
    <col min="73" max="73" width="32.5546875" hidden="1" customWidth="1"/>
    <col min="74" max="74" width="8.88671875" hidden="1" customWidth="1"/>
    <col min="75" max="75" width="20.6640625" hidden="1" customWidth="1"/>
    <col min="76" max="76" width="0" hidden="1" customWidth="1"/>
    <col min="77" max="77" width="8.88671875" hidden="1" customWidth="1"/>
    <col min="78" max="78" width="13.109375" hidden="1" customWidth="1"/>
    <col min="79" max="79" width="2.88671875" bestFit="1" customWidth="1"/>
    <col min="80" max="80" width="18.6640625" customWidth="1"/>
    <col min="82" max="82" width="11.109375" bestFit="1" customWidth="1"/>
  </cols>
  <sheetData>
    <row r="1" spans="1:82" ht="23.4">
      <c r="A1" s="400" t="s">
        <v>1325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82" ht="16.2" thickBot="1">
      <c r="A2" s="402" t="s">
        <v>1326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AR2" t="s">
        <v>1327</v>
      </c>
      <c r="AT2" t="s">
        <v>1328</v>
      </c>
    </row>
    <row r="3" spans="1:82" ht="17.25" customHeight="1" thickBot="1">
      <c r="E3" s="186"/>
      <c r="G3" s="186"/>
      <c r="H3" s="403"/>
      <c r="K3" s="404" t="s">
        <v>1329</v>
      </c>
      <c r="L3" s="405"/>
      <c r="M3" s="406"/>
      <c r="N3" s="407"/>
      <c r="O3" s="408"/>
      <c r="P3" s="409"/>
      <c r="Q3" s="409"/>
      <c r="R3" s="409"/>
      <c r="S3" s="408"/>
      <c r="T3" s="410">
        <f>T4</f>
        <v>0</v>
      </c>
      <c r="U3" s="411"/>
      <c r="V3" s="412"/>
      <c r="W3" s="412" t="s">
        <v>1330</v>
      </c>
      <c r="X3" s="412"/>
      <c r="Y3" s="413" t="s">
        <v>1331</v>
      </c>
      <c r="Z3" s="414" t="s">
        <v>1332</v>
      </c>
      <c r="AA3" s="415" t="s">
        <v>1333</v>
      </c>
      <c r="AB3" s="414" t="s">
        <v>1334</v>
      </c>
      <c r="AC3" s="412"/>
      <c r="AD3" s="413"/>
      <c r="AE3" s="416"/>
      <c r="AF3" s="416"/>
      <c r="AG3" s="410" t="s">
        <v>1335</v>
      </c>
      <c r="AH3" s="411" t="s">
        <v>59</v>
      </c>
      <c r="AI3" s="417"/>
      <c r="AJ3" s="418"/>
      <c r="AK3" s="419">
        <v>1.0249999999999999</v>
      </c>
      <c r="AL3" s="411">
        <v>1.02</v>
      </c>
      <c r="AM3" s="420" t="s">
        <v>1336</v>
      </c>
      <c r="AN3" s="421" t="s">
        <v>1337</v>
      </c>
      <c r="AO3" s="422" t="s">
        <v>1243</v>
      </c>
      <c r="AP3" s="423" t="s">
        <v>1245</v>
      </c>
      <c r="AQ3" s="423" t="s">
        <v>1338</v>
      </c>
      <c r="AR3" s="424" t="s">
        <v>1339</v>
      </c>
      <c r="AS3" s="425" t="s">
        <v>1340</v>
      </c>
      <c r="AZ3" s="403"/>
      <c r="BA3" s="403"/>
      <c r="BF3" s="1011"/>
      <c r="BG3" s="1011"/>
      <c r="BH3" s="1011"/>
      <c r="BI3" s="1011"/>
      <c r="BJ3" s="1011"/>
      <c r="BK3" s="1011"/>
    </row>
    <row r="4" spans="1:82" ht="38.25" customHeight="1">
      <c r="A4" s="426" t="s">
        <v>1341</v>
      </c>
      <c r="B4" s="427" t="s">
        <v>0</v>
      </c>
      <c r="C4" s="428" t="s">
        <v>1342</v>
      </c>
      <c r="D4" s="427" t="s">
        <v>1343</v>
      </c>
      <c r="E4" s="429" t="s">
        <v>1344</v>
      </c>
      <c r="F4" s="427" t="s">
        <v>1345</v>
      </c>
      <c r="G4" s="430" t="s">
        <v>1346</v>
      </c>
      <c r="H4" s="431" t="s">
        <v>1347</v>
      </c>
      <c r="I4" s="432" t="s">
        <v>1348</v>
      </c>
      <c r="J4" s="433" t="s">
        <v>1349</v>
      </c>
      <c r="K4" s="434" t="s">
        <v>1350</v>
      </c>
      <c r="L4" s="435" t="s">
        <v>1351</v>
      </c>
      <c r="M4" s="436" t="s">
        <v>1352</v>
      </c>
      <c r="N4" s="437" t="s">
        <v>1353</v>
      </c>
      <c r="O4" s="438" t="s">
        <v>1354</v>
      </c>
      <c r="P4" s="438" t="s">
        <v>1355</v>
      </c>
      <c r="Q4" s="438" t="s">
        <v>1356</v>
      </c>
      <c r="R4" s="438" t="s">
        <v>1357</v>
      </c>
      <c r="S4" s="438" t="s">
        <v>1358</v>
      </c>
      <c r="T4" s="439"/>
      <c r="U4" s="439" t="s">
        <v>1359</v>
      </c>
      <c r="V4" s="440" t="s">
        <v>1360</v>
      </c>
      <c r="W4" s="441" t="s">
        <v>1361</v>
      </c>
      <c r="X4" s="441" t="s">
        <v>1362</v>
      </c>
      <c r="Y4" s="442"/>
      <c r="Z4" s="442"/>
      <c r="AA4" s="441"/>
      <c r="AB4" s="442"/>
      <c r="AC4" s="441"/>
      <c r="AD4" s="443" t="s">
        <v>1363</v>
      </c>
      <c r="AE4" s="444" t="s">
        <v>1364</v>
      </c>
      <c r="AF4" s="445" t="s">
        <v>1365</v>
      </c>
      <c r="AG4" s="446" t="s">
        <v>1366</v>
      </c>
      <c r="AH4" s="447" t="s">
        <v>1367</v>
      </c>
      <c r="AI4" s="448" t="s">
        <v>1368</v>
      </c>
      <c r="AJ4" s="449" t="s">
        <v>1369</v>
      </c>
      <c r="AK4" s="450" t="s">
        <v>1370</v>
      </c>
      <c r="AL4" s="439" t="s">
        <v>1</v>
      </c>
      <c r="AM4" s="451"/>
      <c r="AN4" s="1033"/>
      <c r="AO4" s="1034"/>
      <c r="AP4" s="1033"/>
      <c r="AQ4" s="1033"/>
      <c r="AR4" s="1035"/>
      <c r="AS4" s="1036"/>
      <c r="AT4" s="738" t="s">
        <v>1371</v>
      </c>
      <c r="AU4" s="739" t="s">
        <v>2</v>
      </c>
      <c r="AV4" s="1037" t="s">
        <v>1372</v>
      </c>
      <c r="AW4" s="740" t="s">
        <v>1372</v>
      </c>
      <c r="AX4" s="741" t="s">
        <v>1373</v>
      </c>
      <c r="AY4" s="1037" t="s">
        <v>1374</v>
      </c>
      <c r="AZ4" s="700"/>
      <c r="BA4" s="700"/>
      <c r="BC4" s="701"/>
      <c r="BF4" s="1011"/>
      <c r="BG4" s="1011"/>
      <c r="BH4" s="1012"/>
      <c r="BI4" s="1012"/>
      <c r="BJ4" s="1012"/>
      <c r="BK4" s="1012"/>
      <c r="BS4" s="702"/>
      <c r="BT4" s="702"/>
      <c r="BU4" s="702"/>
    </row>
    <row r="5" spans="1:82">
      <c r="A5" s="1038" t="s">
        <v>1375</v>
      </c>
      <c r="B5" s="1039" t="s">
        <v>1376</v>
      </c>
      <c r="C5" s="1040">
        <v>1980041.06</v>
      </c>
      <c r="D5" s="1041">
        <v>3000000</v>
      </c>
      <c r="E5" s="1042">
        <v>2745119.93</v>
      </c>
      <c r="F5" s="1043">
        <f>E5-C5</f>
        <v>765078.87000000011</v>
      </c>
      <c r="G5" s="1043">
        <v>3000000</v>
      </c>
      <c r="H5" s="1044">
        <v>3100000</v>
      </c>
      <c r="I5" s="1043">
        <f t="shared" ref="I5:I27" si="0">H5-G5</f>
        <v>100000</v>
      </c>
      <c r="J5" s="1045">
        <v>3920730</v>
      </c>
      <c r="K5" s="1046">
        <f>3100000*1.1</f>
        <v>3410000.0000000005</v>
      </c>
      <c r="L5" s="1047">
        <f>K5*1.05</f>
        <v>3580500.0000000005</v>
      </c>
      <c r="M5" s="1048">
        <f>L5*1.05</f>
        <v>3759525.0000000005</v>
      </c>
      <c r="N5" s="1049">
        <v>3900000</v>
      </c>
      <c r="O5" s="1050">
        <f>N5*1.05</f>
        <v>4095000</v>
      </c>
      <c r="P5" s="1050" t="e">
        <f>'[3]Výsledovka 2020 1111'!#REF!</f>
        <v>#REF!</v>
      </c>
      <c r="Q5" s="1050" t="e">
        <f>P5-N5</f>
        <v>#REF!</v>
      </c>
      <c r="R5" s="1051" t="e">
        <f>P5/N5</f>
        <v>#REF!</v>
      </c>
      <c r="S5" s="1050">
        <f>N5*1.05</f>
        <v>4095000</v>
      </c>
      <c r="T5" s="1012">
        <v>9168899</v>
      </c>
      <c r="U5" s="1012"/>
      <c r="V5" s="1052"/>
      <c r="W5" s="452">
        <f>'[4]1111-střednědobý výhled'!Y5</f>
        <v>6200000</v>
      </c>
      <c r="X5" s="453">
        <v>1.33</v>
      </c>
      <c r="Y5" s="1053">
        <f>W5*X5</f>
        <v>8246000</v>
      </c>
      <c r="Z5" s="1053">
        <f>[5]List1!$J$12</f>
        <v>148648</v>
      </c>
      <c r="AA5" s="452">
        <f t="shared" ref="AA5:AA13" si="1">Z5-T5</f>
        <v>-9020251</v>
      </c>
      <c r="AB5" s="1053">
        <f t="shared" ref="AB5:AB30" si="2">Z5-Y5</f>
        <v>-8097352</v>
      </c>
      <c r="AC5" s="454">
        <f t="shared" ref="AC5:AC12" si="3">Z5/Y5</f>
        <v>1.8026679602231387E-2</v>
      </c>
      <c r="AD5" s="1054">
        <f>Z5*0.95</f>
        <v>141215.6</v>
      </c>
      <c r="AE5" s="455">
        <v>7076390.5899999999</v>
      </c>
      <c r="AF5" s="456">
        <f>AE5-AD5</f>
        <v>6935174.9900000002</v>
      </c>
      <c r="AG5" s="1055">
        <f>AD5*1.03</f>
        <v>145452.068</v>
      </c>
      <c r="AH5" s="1056">
        <f>AE5*1.151</f>
        <v>8144925.5690900004</v>
      </c>
      <c r="AI5" s="1057">
        <f>AH5-AE5</f>
        <v>1068534.9790900005</v>
      </c>
      <c r="AJ5" s="1058">
        <v>10361339.18</v>
      </c>
      <c r="AK5" s="1059">
        <f>AH5*1.05</f>
        <v>8552171.8475445006</v>
      </c>
      <c r="AL5" s="1012">
        <f>AK5*1.05</f>
        <v>8979780.4399217255</v>
      </c>
      <c r="AM5" s="1060">
        <f>AN5/AH5</f>
        <v>0.27212202151009102</v>
      </c>
      <c r="AN5" s="1012">
        <f>AJ5-AH5</f>
        <v>2216413.6109099993</v>
      </c>
      <c r="AO5" s="1061">
        <f>AJ5*1.1</f>
        <v>11397473.098000001</v>
      </c>
      <c r="AP5" s="1012">
        <v>9938557.8100000005</v>
      </c>
      <c r="AQ5" s="1012">
        <f>AP5-AO5</f>
        <v>-1458915.2880000006</v>
      </c>
      <c r="AR5" s="1062">
        <f>AO5*1.02</f>
        <v>11625422.559960002</v>
      </c>
      <c r="AS5" s="1063">
        <f t="shared" ref="AS5:AS11" si="4">AR5*1.02</f>
        <v>11857931.011159202</v>
      </c>
      <c r="AT5" s="1064">
        <v>10500000</v>
      </c>
      <c r="AU5" s="1065">
        <v>9560482.3499999996</v>
      </c>
      <c r="AV5" s="1066">
        <f>AU5*1.022</f>
        <v>9770812.9616999999</v>
      </c>
      <c r="AW5" s="1067">
        <f>AT5*1.022</f>
        <v>10731000</v>
      </c>
      <c r="AX5" s="1068">
        <f>AV5*1.022</f>
        <v>9985770.8468574006</v>
      </c>
      <c r="AY5" s="1067">
        <f>AX5*1.022</f>
        <v>10205457.805488264</v>
      </c>
      <c r="AZ5" s="185"/>
      <c r="BA5" s="185"/>
      <c r="BE5" s="368"/>
      <c r="BF5" s="1011"/>
      <c r="BG5" s="1011"/>
      <c r="BH5" s="1012"/>
      <c r="BI5" s="1012"/>
      <c r="BJ5" s="1012"/>
      <c r="BK5" s="1069"/>
      <c r="BN5" s="185"/>
      <c r="BQ5" s="185"/>
      <c r="BS5" s="368"/>
      <c r="BT5" s="368"/>
      <c r="BU5" s="368"/>
      <c r="CB5" s="371"/>
      <c r="CD5" s="183"/>
    </row>
    <row r="6" spans="1:82">
      <c r="A6" s="1038" t="s">
        <v>1377</v>
      </c>
      <c r="B6" s="1039" t="s">
        <v>1378</v>
      </c>
      <c r="C6" s="1040">
        <v>6236566.9100000001</v>
      </c>
      <c r="D6" s="1041">
        <v>6400000</v>
      </c>
      <c r="E6" s="1042">
        <v>6198665.2000000002</v>
      </c>
      <c r="F6" s="1043">
        <f t="shared" ref="F6:F44" si="5">E6-C6</f>
        <v>-37901.709999999963</v>
      </c>
      <c r="G6" s="1043">
        <v>6400000</v>
      </c>
      <c r="H6" s="1044">
        <v>6920000</v>
      </c>
      <c r="I6" s="1043">
        <f t="shared" si="0"/>
        <v>520000</v>
      </c>
      <c r="J6" s="1045">
        <v>6463061</v>
      </c>
      <c r="K6" s="1046">
        <f>H6*1.025</f>
        <v>7092999.9999999991</v>
      </c>
      <c r="L6" s="1047">
        <f>4300000*1.1</f>
        <v>4730000</v>
      </c>
      <c r="M6" s="1048">
        <f t="shared" ref="M6:M52" si="6">L6*1.05</f>
        <v>4966500</v>
      </c>
      <c r="N6" s="1049">
        <v>7400000</v>
      </c>
      <c r="O6" s="1050">
        <f t="shared" ref="O6:O46" si="7">N6*1.05</f>
        <v>7770000</v>
      </c>
      <c r="P6" s="1050" t="e">
        <f>'[3]Výsledovka 2020 1111'!#REF!</f>
        <v>#REF!</v>
      </c>
      <c r="Q6" s="1050" t="e">
        <f t="shared" ref="Q6:Q52" si="8">P6-N6</f>
        <v>#REF!</v>
      </c>
      <c r="R6" s="1051" t="e">
        <f>P6/O6</f>
        <v>#REF!</v>
      </c>
      <c r="S6" s="1050">
        <f t="shared" ref="S6:S52" si="9">N6*1.05</f>
        <v>7770000</v>
      </c>
      <c r="T6" s="1012">
        <v>6855883</v>
      </c>
      <c r="U6" s="1012"/>
      <c r="V6" s="1052"/>
      <c r="W6" s="452">
        <f>'[4]1111-střednědobý výhled'!Y6</f>
        <v>6000000</v>
      </c>
      <c r="X6" s="453">
        <v>1.05</v>
      </c>
      <c r="Y6" s="1053">
        <f t="shared" ref="Y6:Y30" si="10">W6*X6</f>
        <v>6300000</v>
      </c>
      <c r="Z6" s="1053">
        <f>[5]List1!$J$14</f>
        <v>45684</v>
      </c>
      <c r="AA6" s="452">
        <f t="shared" si="1"/>
        <v>-6810199</v>
      </c>
      <c r="AB6" s="1053">
        <f t="shared" si="2"/>
        <v>-6254316</v>
      </c>
      <c r="AC6" s="454">
        <f t="shared" si="3"/>
        <v>7.2514285714285719E-3</v>
      </c>
      <c r="AD6" s="1054">
        <f>Z6*1.2+8000000+366667</f>
        <v>8421487.8000000007</v>
      </c>
      <c r="AE6" s="455">
        <v>10299110.74</v>
      </c>
      <c r="AF6" s="456">
        <f t="shared" ref="AF6:AF52" si="11">AE6-AD6</f>
        <v>1877622.9399999995</v>
      </c>
      <c r="AG6" s="1055">
        <f>(AD6-8000000)*1.3</f>
        <v>547934.14000000095</v>
      </c>
      <c r="AH6" s="1056">
        <f>[6]ENERGIE!Q8</f>
        <v>15226771.08</v>
      </c>
      <c r="AI6" s="1057">
        <f t="shared" ref="AI6:AI30" si="12">AH6-AE6</f>
        <v>4927660.34</v>
      </c>
      <c r="AJ6" s="1058">
        <v>10082844.859999999</v>
      </c>
      <c r="AK6" s="1059">
        <f>AH6*0.95</f>
        <v>14465432.525999999</v>
      </c>
      <c r="AL6" s="1012">
        <f>AK6*AL3</f>
        <v>14754741.176519999</v>
      </c>
      <c r="AM6" s="1060">
        <f t="shared" ref="AM6:AM31" si="13">AN6/AH6</f>
        <v>-0.33782120930132226</v>
      </c>
      <c r="AN6" s="1012">
        <f t="shared" ref="AN6:AN31" si="14">AJ6-AH6</f>
        <v>-5143926.2200000007</v>
      </c>
      <c r="AO6" s="1061">
        <f>[6]ENERGIE!O8</f>
        <v>10385330.205799999</v>
      </c>
      <c r="AP6" s="1012">
        <v>12058737.27</v>
      </c>
      <c r="AQ6" s="1012">
        <f t="shared" ref="AQ6:AQ31" si="15">AP6-AO6</f>
        <v>1673407.0642000008</v>
      </c>
      <c r="AR6" s="1062">
        <f t="shared" ref="AR6:AR11" si="16">AO6*1.02</f>
        <v>10593036.809915999</v>
      </c>
      <c r="AS6" s="1063">
        <f t="shared" si="4"/>
        <v>10804897.54611432</v>
      </c>
      <c r="AT6" s="1064">
        <f>[6]ENERGIE!M8</f>
        <v>12902848.878899999</v>
      </c>
      <c r="AU6" s="1065">
        <v>11934847.66</v>
      </c>
      <c r="AV6" s="1066">
        <f t="shared" ref="AV6:AV11" si="17">AU6*1.022</f>
        <v>12197414.30852</v>
      </c>
      <c r="AW6" s="1067">
        <f>AT6*1.02</f>
        <v>13160905.856478</v>
      </c>
      <c r="AX6" s="1068">
        <f>AW6*1.02</f>
        <v>13424123.973607561</v>
      </c>
      <c r="AY6" s="1067">
        <f>AX6*1.02</f>
        <v>13692606.453079712</v>
      </c>
      <c r="AZ6" s="185"/>
      <c r="BA6" s="185"/>
      <c r="BE6" s="368"/>
      <c r="BF6" s="1011"/>
      <c r="BG6" s="1011"/>
      <c r="BH6" s="1012"/>
      <c r="BI6" s="1012"/>
      <c r="BJ6" s="1012"/>
      <c r="BK6" s="1069"/>
      <c r="BN6" s="185"/>
      <c r="BQ6" s="185"/>
      <c r="BS6" s="368"/>
      <c r="BT6" s="368"/>
      <c r="BU6" s="368"/>
      <c r="CB6" s="371"/>
      <c r="CD6" s="183"/>
    </row>
    <row r="7" spans="1:82">
      <c r="A7" s="1038">
        <v>504</v>
      </c>
      <c r="B7" s="1039" t="s">
        <v>1379</v>
      </c>
      <c r="C7" s="1040"/>
      <c r="D7" s="1041"/>
      <c r="E7" s="1042"/>
      <c r="F7" s="1043"/>
      <c r="G7" s="1043"/>
      <c r="H7" s="1044"/>
      <c r="I7" s="1043"/>
      <c r="J7" s="1045"/>
      <c r="K7" s="1046"/>
      <c r="L7" s="1047"/>
      <c r="M7" s="1048"/>
      <c r="N7" s="1049"/>
      <c r="O7" s="1050"/>
      <c r="P7" s="1050"/>
      <c r="Q7" s="1050"/>
      <c r="R7" s="1051"/>
      <c r="S7" s="1050"/>
      <c r="T7" s="1012">
        <v>185303</v>
      </c>
      <c r="U7" s="1012"/>
      <c r="V7" s="1052"/>
      <c r="W7" s="452">
        <f>[4]List3!I12</f>
        <v>185303.26</v>
      </c>
      <c r="X7" s="453">
        <f>[4]List3!J12</f>
        <v>1</v>
      </c>
      <c r="Y7" s="1053">
        <f t="shared" si="10"/>
        <v>185303.26</v>
      </c>
      <c r="Z7" s="457">
        <f>'[7]2021'!I29</f>
        <v>226738.26</v>
      </c>
      <c r="AA7" s="452">
        <f t="shared" si="1"/>
        <v>41435.260000000009</v>
      </c>
      <c r="AB7" s="1053">
        <f t="shared" si="2"/>
        <v>41435</v>
      </c>
      <c r="AC7" s="454">
        <f t="shared" si="3"/>
        <v>1.2236064276473064</v>
      </c>
      <c r="AD7" s="458">
        <v>185000</v>
      </c>
      <c r="AE7" s="455">
        <v>492322.27</v>
      </c>
      <c r="AF7" s="456">
        <f t="shared" si="11"/>
        <v>307322.27</v>
      </c>
      <c r="AG7" s="459">
        <v>185000</v>
      </c>
      <c r="AH7" s="266">
        <f>AE7*1.1</f>
        <v>541554.49700000009</v>
      </c>
      <c r="AI7" s="1057">
        <f t="shared" si="12"/>
        <v>49232.227000000072</v>
      </c>
      <c r="AJ7" s="1058">
        <v>491215.85</v>
      </c>
      <c r="AK7" s="185">
        <f>AH7*AK3</f>
        <v>555093.35942500003</v>
      </c>
      <c r="AL7">
        <f>AK7*AL3</f>
        <v>566195.22661350004</v>
      </c>
      <c r="AM7" s="1060">
        <f t="shared" si="13"/>
        <v>-9.2952135526260998E-2</v>
      </c>
      <c r="AN7" s="1012">
        <f t="shared" si="14"/>
        <v>-50338.647000000114</v>
      </c>
      <c r="AO7" s="1061">
        <v>500000</v>
      </c>
      <c r="AP7" s="1012">
        <v>491047.95</v>
      </c>
      <c r="AQ7" s="1012">
        <f t="shared" si="15"/>
        <v>-8952.0499999999884</v>
      </c>
      <c r="AR7" s="1062">
        <f t="shared" si="16"/>
        <v>510000</v>
      </c>
      <c r="AS7" s="1063">
        <f t="shared" si="4"/>
        <v>520200</v>
      </c>
      <c r="AT7" s="1064">
        <v>500000</v>
      </c>
      <c r="AU7" s="1065">
        <v>577639.25</v>
      </c>
      <c r="AV7" s="1066">
        <f t="shared" si="17"/>
        <v>590347.31350000005</v>
      </c>
      <c r="AW7" s="1067">
        <f t="shared" ref="AW7:AW8" si="18">AT7*1.022</f>
        <v>511000</v>
      </c>
      <c r="AX7" s="1068">
        <f>AV7*1.022</f>
        <v>603334.95439700002</v>
      </c>
      <c r="AY7" s="1067">
        <f>AX7*1.02</f>
        <v>615401.65348494006</v>
      </c>
      <c r="AZ7" s="185"/>
      <c r="BA7" s="185"/>
      <c r="BE7" s="368"/>
      <c r="BF7" s="1011"/>
      <c r="BG7" s="1011"/>
      <c r="BH7" s="1012"/>
      <c r="BI7" s="1012"/>
      <c r="BJ7" s="1012"/>
      <c r="BK7" s="1069"/>
      <c r="BN7" s="185"/>
      <c r="BQ7" s="185"/>
      <c r="BS7" s="368"/>
      <c r="BT7" s="368"/>
      <c r="BU7" s="368"/>
      <c r="CB7" s="371"/>
      <c r="CD7" s="183"/>
    </row>
    <row r="8" spans="1:82">
      <c r="A8" s="1038" t="s">
        <v>1380</v>
      </c>
      <c r="B8" s="1039" t="s">
        <v>1381</v>
      </c>
      <c r="C8" s="1040">
        <v>4979161.0999999978</v>
      </c>
      <c r="D8" s="1041">
        <v>5000000</v>
      </c>
      <c r="E8" s="1042">
        <v>5484002.3300000001</v>
      </c>
      <c r="F8" s="1043">
        <f t="shared" si="5"/>
        <v>504841.23000000231</v>
      </c>
      <c r="G8" s="1043">
        <v>5000000</v>
      </c>
      <c r="H8" s="1044">
        <v>6000000</v>
      </c>
      <c r="I8" s="1043">
        <f t="shared" si="0"/>
        <v>1000000</v>
      </c>
      <c r="J8" s="1045">
        <v>3639659</v>
      </c>
      <c r="K8" s="1046">
        <f>H8*1.05</f>
        <v>6300000</v>
      </c>
      <c r="L8" s="1047">
        <f>K8*1.05</f>
        <v>6615000</v>
      </c>
      <c r="M8" s="1048">
        <f t="shared" si="6"/>
        <v>6945750</v>
      </c>
      <c r="N8" s="1049">
        <v>6300000</v>
      </c>
      <c r="O8" s="1050">
        <f t="shared" si="7"/>
        <v>6615000</v>
      </c>
      <c r="P8" s="1050" t="e">
        <f>'[3]Výsledovka 2020 1111'!#REF!</f>
        <v>#REF!</v>
      </c>
      <c r="Q8" s="1050" t="e">
        <f t="shared" si="8"/>
        <v>#REF!</v>
      </c>
      <c r="R8" s="1051" t="e">
        <f>P8/O8</f>
        <v>#REF!</v>
      </c>
      <c r="S8" s="1050">
        <f t="shared" si="9"/>
        <v>6615000</v>
      </c>
      <c r="T8" s="1012">
        <v>3345286</v>
      </c>
      <c r="U8" s="1012"/>
      <c r="V8" s="1052"/>
      <c r="W8" s="452">
        <f>'[4]1111-střednědobý výhled'!Y8</f>
        <v>3500000</v>
      </c>
      <c r="X8" s="453">
        <v>1</v>
      </c>
      <c r="Y8" s="1053">
        <f t="shared" si="10"/>
        <v>3500000</v>
      </c>
      <c r="Z8" s="1053">
        <f>'[7]2021'!I35</f>
        <v>5539105.1100000003</v>
      </c>
      <c r="AA8" s="452">
        <f t="shared" si="1"/>
        <v>2193819.1100000003</v>
      </c>
      <c r="AB8" s="1053">
        <f t="shared" si="2"/>
        <v>2039105.1100000003</v>
      </c>
      <c r="AC8" s="454">
        <f t="shared" si="3"/>
        <v>1.58260146</v>
      </c>
      <c r="AD8" s="1054">
        <f>'[7]511-opravy 22'!J39+500000</f>
        <v>4018500</v>
      </c>
      <c r="AE8" s="460">
        <v>30789532.460000001</v>
      </c>
      <c r="AF8" s="461">
        <f t="shared" si="11"/>
        <v>26771032.460000001</v>
      </c>
      <c r="AG8" s="1055">
        <f>AD8*1.1+300000</f>
        <v>4720350</v>
      </c>
      <c r="AH8" s="1056">
        <f>'[6]Plán oprav 23'!V45</f>
        <v>6065000</v>
      </c>
      <c r="AI8" s="1057">
        <f t="shared" si="12"/>
        <v>-24724532.460000001</v>
      </c>
      <c r="AJ8" s="1058">
        <v>2779140.92</v>
      </c>
      <c r="AK8" s="1059">
        <f>AH8*AK3</f>
        <v>6216624.9999999991</v>
      </c>
      <c r="AL8" s="1012">
        <f>AK8*AL3</f>
        <v>6340957.4999999991</v>
      </c>
      <c r="AM8" s="1060">
        <f t="shared" si="13"/>
        <v>-0.54177396207749384</v>
      </c>
      <c r="AN8" s="1012">
        <f t="shared" si="14"/>
        <v>-3285859.08</v>
      </c>
      <c r="AO8" s="1061">
        <f t="shared" ref="AO8:AO28" si="19">AJ8*1.1</f>
        <v>3057055.0120000001</v>
      </c>
      <c r="AP8" s="1012">
        <v>2639731.67</v>
      </c>
      <c r="AQ8" s="1012">
        <f t="shared" si="15"/>
        <v>-417323.34200000018</v>
      </c>
      <c r="AR8" s="1062">
        <f t="shared" si="16"/>
        <v>3118196.1122400002</v>
      </c>
      <c r="AS8" s="1063">
        <f t="shared" si="4"/>
        <v>3180560.0344848004</v>
      </c>
      <c r="AT8" s="1064">
        <v>2700000</v>
      </c>
      <c r="AU8" s="1065">
        <v>3987984.9</v>
      </c>
      <c r="AV8" s="1066">
        <f t="shared" si="17"/>
        <v>4075720.5677999998</v>
      </c>
      <c r="AW8" s="1067">
        <f t="shared" si="18"/>
        <v>2759400</v>
      </c>
      <c r="AX8" s="1068">
        <v>4300000</v>
      </c>
      <c r="AY8" s="1067">
        <f>AX8*1.02</f>
        <v>4386000</v>
      </c>
      <c r="AZ8" s="185"/>
      <c r="BA8" s="185"/>
      <c r="BE8" s="368"/>
      <c r="BF8" s="1011"/>
      <c r="BG8" s="1011"/>
      <c r="BH8" s="1012"/>
      <c r="BI8" s="1012"/>
      <c r="BJ8" s="1012"/>
      <c r="BK8" s="1069"/>
      <c r="BN8" s="185"/>
      <c r="BQ8" s="185"/>
      <c r="BS8" s="368"/>
      <c r="BT8" s="368"/>
      <c r="BU8" s="368"/>
      <c r="CB8" s="371"/>
      <c r="CD8" s="183"/>
    </row>
    <row r="9" spans="1:82">
      <c r="A9" s="1038" t="s">
        <v>1382</v>
      </c>
      <c r="B9" s="1039" t="s">
        <v>1383</v>
      </c>
      <c r="C9" s="1040">
        <v>127511.29</v>
      </c>
      <c r="D9" s="1041">
        <v>200000</v>
      </c>
      <c r="E9" s="1042">
        <v>97905.1</v>
      </c>
      <c r="F9" s="1043">
        <f t="shared" si="5"/>
        <v>-29606.189999999988</v>
      </c>
      <c r="G9" s="1043">
        <v>200000</v>
      </c>
      <c r="H9" s="1044">
        <v>150000</v>
      </c>
      <c r="I9" s="1043">
        <f t="shared" si="0"/>
        <v>-50000</v>
      </c>
      <c r="J9" s="1045">
        <v>283206</v>
      </c>
      <c r="K9" s="1046">
        <v>200000</v>
      </c>
      <c r="L9" s="1047">
        <v>250000</v>
      </c>
      <c r="M9" s="1048">
        <f t="shared" si="6"/>
        <v>262500</v>
      </c>
      <c r="N9" s="1049">
        <v>300000</v>
      </c>
      <c r="O9" s="1050">
        <f t="shared" si="7"/>
        <v>315000</v>
      </c>
      <c r="P9" s="1050" t="e">
        <f>'[3]Výsledovka 2020 1111'!#REF!</f>
        <v>#REF!</v>
      </c>
      <c r="Q9" s="1070" t="e">
        <f t="shared" si="8"/>
        <v>#REF!</v>
      </c>
      <c r="R9" s="1051" t="e">
        <f>P9/O9</f>
        <v>#REF!</v>
      </c>
      <c r="S9" s="1050">
        <f t="shared" si="9"/>
        <v>315000</v>
      </c>
      <c r="T9" s="1012">
        <v>192321</v>
      </c>
      <c r="U9" s="1012"/>
      <c r="V9" s="1052"/>
      <c r="W9" s="452">
        <f>'[4]1111-střednědobý výhled'!Y9</f>
        <v>150000</v>
      </c>
      <c r="X9" s="453">
        <v>1.42</v>
      </c>
      <c r="Y9" s="1053">
        <f t="shared" si="10"/>
        <v>213000</v>
      </c>
      <c r="Z9" s="1053">
        <f>[5]List1!$J$20</f>
        <v>573540</v>
      </c>
      <c r="AA9" s="452">
        <f t="shared" si="1"/>
        <v>381219</v>
      </c>
      <c r="AB9" s="1053">
        <f t="shared" si="2"/>
        <v>360540</v>
      </c>
      <c r="AC9" s="454">
        <f t="shared" si="3"/>
        <v>2.6926760563380281</v>
      </c>
      <c r="AD9" s="1054">
        <f>Z9*1.2</f>
        <v>688248</v>
      </c>
      <c r="AE9" s="455">
        <v>742118</v>
      </c>
      <c r="AF9" s="456">
        <f t="shared" si="11"/>
        <v>53870</v>
      </c>
      <c r="AG9" s="1055">
        <f>AD9*1.1</f>
        <v>757072.8</v>
      </c>
      <c r="AH9" s="1056">
        <f>AE9*1.1</f>
        <v>816329.8</v>
      </c>
      <c r="AI9" s="1057">
        <f t="shared" si="12"/>
        <v>74211.800000000047</v>
      </c>
      <c r="AJ9" s="1058">
        <v>797453</v>
      </c>
      <c r="AK9" s="1059">
        <f>AE9</f>
        <v>742118</v>
      </c>
      <c r="AL9" s="1012">
        <f>AK9</f>
        <v>742118</v>
      </c>
      <c r="AM9" s="1060">
        <f t="shared" si="13"/>
        <v>-2.3123987388430564E-2</v>
      </c>
      <c r="AN9" s="1012">
        <f t="shared" si="14"/>
        <v>-18876.800000000047</v>
      </c>
      <c r="AO9" s="1061">
        <f t="shared" si="19"/>
        <v>877198.3</v>
      </c>
      <c r="AP9" s="1012">
        <v>813989</v>
      </c>
      <c r="AQ9" s="1012">
        <f t="shared" si="15"/>
        <v>-63209.300000000047</v>
      </c>
      <c r="AR9" s="1062">
        <f t="shared" si="16"/>
        <v>894742.26600000006</v>
      </c>
      <c r="AS9" s="1063">
        <f t="shared" si="4"/>
        <v>912637.11132000003</v>
      </c>
      <c r="AT9" s="1064">
        <v>800000</v>
      </c>
      <c r="AU9" s="1065">
        <v>665730</v>
      </c>
      <c r="AV9" s="1066">
        <f t="shared" si="17"/>
        <v>680376.06</v>
      </c>
      <c r="AW9" s="1067">
        <v>800000</v>
      </c>
      <c r="AX9" s="1068">
        <v>700000</v>
      </c>
      <c r="AY9" s="1067">
        <f>AX9*1.022</f>
        <v>715400</v>
      </c>
      <c r="AZ9" s="185"/>
      <c r="BA9" s="185"/>
      <c r="BE9" s="368"/>
      <c r="BF9" s="1011"/>
      <c r="BG9" s="1011"/>
      <c r="BH9" s="1012"/>
      <c r="BI9" s="1012"/>
      <c r="BJ9" s="1012"/>
      <c r="BK9" s="1069"/>
      <c r="BN9" s="185"/>
      <c r="BQ9" s="185"/>
      <c r="BS9" s="368"/>
      <c r="BT9" s="368"/>
      <c r="BU9" s="368"/>
      <c r="CB9" s="371"/>
      <c r="CD9" s="183"/>
    </row>
    <row r="10" spans="1:82">
      <c r="A10" s="1038" t="s">
        <v>1384</v>
      </c>
      <c r="B10" s="1039" t="s">
        <v>1385</v>
      </c>
      <c r="C10" s="1040">
        <v>38394.660000000003</v>
      </c>
      <c r="D10" s="1041">
        <v>100000</v>
      </c>
      <c r="E10" s="1042">
        <v>53805.7</v>
      </c>
      <c r="F10" s="1043">
        <f t="shared" si="5"/>
        <v>15411.039999999994</v>
      </c>
      <c r="G10" s="1043">
        <v>100000</v>
      </c>
      <c r="H10" s="1044">
        <v>200000</v>
      </c>
      <c r="I10" s="1043">
        <f t="shared" si="0"/>
        <v>100000</v>
      </c>
      <c r="J10" s="1071">
        <v>0</v>
      </c>
      <c r="K10" s="1046">
        <v>220000</v>
      </c>
      <c r="L10" s="1047">
        <v>210120</v>
      </c>
      <c r="M10" s="1048">
        <f t="shared" si="6"/>
        <v>220626</v>
      </c>
      <c r="N10" s="1049">
        <v>0</v>
      </c>
      <c r="O10" s="1050">
        <f t="shared" si="7"/>
        <v>0</v>
      </c>
      <c r="P10" s="1050"/>
      <c r="Q10" s="1050"/>
      <c r="R10" s="1051"/>
      <c r="S10" s="1050"/>
      <c r="T10" s="1012">
        <v>80319</v>
      </c>
      <c r="U10" s="1012"/>
      <c r="V10" s="1052"/>
      <c r="W10" s="452">
        <f>'[4]1111-střednědobý výhled'!Y10</f>
        <v>0</v>
      </c>
      <c r="X10" s="453">
        <v>1</v>
      </c>
      <c r="Y10" s="1053">
        <f>[4]List3!F15</f>
        <v>80319.16</v>
      </c>
      <c r="Z10" s="1053">
        <f>'[7]2021'!I42</f>
        <v>185412.17</v>
      </c>
      <c r="AA10" s="452">
        <f t="shared" si="1"/>
        <v>105093.17000000001</v>
      </c>
      <c r="AB10" s="1053">
        <f t="shared" si="2"/>
        <v>105093.01000000001</v>
      </c>
      <c r="AC10" s="454">
        <f t="shared" si="3"/>
        <v>2.3084425932741328</v>
      </c>
      <c r="AD10" s="1054">
        <f>Z10</f>
        <v>185412.17</v>
      </c>
      <c r="AE10" s="455">
        <v>232237.78</v>
      </c>
      <c r="AF10" s="456">
        <f t="shared" si="11"/>
        <v>46825.609999999986</v>
      </c>
      <c r="AG10" s="1055">
        <f>AD10</f>
        <v>185412.17</v>
      </c>
      <c r="AH10" s="1056">
        <f>AE10*1.151</f>
        <v>267305.68478000001</v>
      </c>
      <c r="AI10" s="1057">
        <f t="shared" si="12"/>
        <v>35067.904780000012</v>
      </c>
      <c r="AJ10" s="1058">
        <v>217345.95</v>
      </c>
      <c r="AK10" s="1059">
        <f>AH10</f>
        <v>267305.68478000001</v>
      </c>
      <c r="AL10" s="1012">
        <f>AK10</f>
        <v>267305.68478000001</v>
      </c>
      <c r="AM10" s="1060">
        <f t="shared" si="13"/>
        <v>-0.18690113089483393</v>
      </c>
      <c r="AN10" s="1012">
        <f t="shared" si="14"/>
        <v>-49959.734779999999</v>
      </c>
      <c r="AO10" s="1061">
        <f>AJ10*1.05</f>
        <v>228213.24750000003</v>
      </c>
      <c r="AP10" s="1012">
        <v>414920.05</v>
      </c>
      <c r="AQ10" s="1012">
        <f t="shared" si="15"/>
        <v>186706.80249999996</v>
      </c>
      <c r="AR10" s="1062">
        <f t="shared" si="16"/>
        <v>232777.51245000004</v>
      </c>
      <c r="AS10" s="1063">
        <f t="shared" si="4"/>
        <v>237433.06269900003</v>
      </c>
      <c r="AT10" s="1064">
        <f>4*90000</f>
        <v>360000</v>
      </c>
      <c r="AU10" s="1065">
        <v>515799.44</v>
      </c>
      <c r="AV10" s="1066">
        <f t="shared" si="17"/>
        <v>527147.02768000006</v>
      </c>
      <c r="AW10" s="1067">
        <v>360000</v>
      </c>
      <c r="AX10" s="1068">
        <v>550000</v>
      </c>
      <c r="AY10" s="1067">
        <f>AX10*1.022</f>
        <v>562100</v>
      </c>
      <c r="AZ10" s="185"/>
      <c r="BA10" s="185"/>
      <c r="BE10" s="368"/>
      <c r="BF10" s="1011"/>
      <c r="BG10" s="1011"/>
      <c r="BH10" s="1012"/>
      <c r="BI10" s="1012"/>
      <c r="BJ10" s="1012"/>
      <c r="BK10" s="1069"/>
      <c r="BN10" s="185"/>
      <c r="BQ10" s="185"/>
      <c r="BS10" s="368"/>
      <c r="BT10" s="368"/>
      <c r="BU10" s="368"/>
      <c r="CB10" s="371"/>
      <c r="CD10" s="183"/>
    </row>
    <row r="11" spans="1:82">
      <c r="A11" s="1038" t="s">
        <v>1386</v>
      </c>
      <c r="B11" s="1039" t="s">
        <v>1387</v>
      </c>
      <c r="C11" s="1040">
        <v>5915989.990000003</v>
      </c>
      <c r="D11" s="1041">
        <v>6500000</v>
      </c>
      <c r="E11" s="1042">
        <v>6216191.4100000001</v>
      </c>
      <c r="F11" s="1043">
        <f t="shared" si="5"/>
        <v>300201.41999999713</v>
      </c>
      <c r="G11" s="1043">
        <v>6500000</v>
      </c>
      <c r="H11" s="1044">
        <v>6500000</v>
      </c>
      <c r="I11" s="1043">
        <f t="shared" si="0"/>
        <v>0</v>
      </c>
      <c r="J11" s="1071">
        <v>7358744</v>
      </c>
      <c r="K11" s="1046">
        <f>H11*1.1</f>
        <v>7150000.0000000009</v>
      </c>
      <c r="L11" s="1047">
        <f>K11*1.05</f>
        <v>7507500.0000000009</v>
      </c>
      <c r="M11" s="1048">
        <f t="shared" si="6"/>
        <v>7882875.0000000009</v>
      </c>
      <c r="N11" s="1049">
        <v>7420000</v>
      </c>
      <c r="O11" s="1050">
        <f t="shared" si="7"/>
        <v>7791000</v>
      </c>
      <c r="P11" s="1072" t="e">
        <f>'[3]Výsledovka 2020 1111'!#REF!</f>
        <v>#REF!</v>
      </c>
      <c r="Q11" s="1070" t="e">
        <f t="shared" si="8"/>
        <v>#REF!</v>
      </c>
      <c r="R11" s="1051" t="e">
        <f>P11/O11</f>
        <v>#REF!</v>
      </c>
      <c r="S11" s="1050">
        <f t="shared" si="9"/>
        <v>7791000</v>
      </c>
      <c r="T11" s="1012">
        <v>17713509</v>
      </c>
      <c r="U11" s="1012"/>
      <c r="V11" s="1052"/>
      <c r="W11" s="452">
        <f>'[4]1111-střednědobý výhled'!Y11</f>
        <v>13694980</v>
      </c>
      <c r="X11" s="453">
        <v>1.21</v>
      </c>
      <c r="Y11" s="1053">
        <f t="shared" si="10"/>
        <v>16570925.799999999</v>
      </c>
      <c r="Z11" s="1053">
        <f>[5]List1!$J$24</f>
        <v>161468</v>
      </c>
      <c r="AA11" s="452">
        <f t="shared" si="1"/>
        <v>-17552041</v>
      </c>
      <c r="AB11" s="1053">
        <f t="shared" si="2"/>
        <v>-16409457.799999999</v>
      </c>
      <c r="AC11" s="454">
        <f t="shared" si="3"/>
        <v>9.744054251935641E-3</v>
      </c>
      <c r="AD11" s="1073">
        <f>Z11+BO8-3000515+693171</f>
        <v>-2145876</v>
      </c>
      <c r="AE11" s="455">
        <v>21722482.719999999</v>
      </c>
      <c r="AF11" s="456">
        <f t="shared" si="11"/>
        <v>23868358.719999999</v>
      </c>
      <c r="AG11" s="1055">
        <f>AD11*1-BO8-92583</f>
        <v>-2238459</v>
      </c>
      <c r="AH11" s="1056">
        <f>AE11*1.151</f>
        <v>25002577.610719997</v>
      </c>
      <c r="AI11" s="1057">
        <f t="shared" si="12"/>
        <v>3280094.8907199986</v>
      </c>
      <c r="AJ11" s="1058">
        <v>23672503.359999999</v>
      </c>
      <c r="AK11" s="1059">
        <f>AK3*AH11</f>
        <v>25627642.050987996</v>
      </c>
      <c r="AL11" s="1012">
        <f>AK11*AL3</f>
        <v>26140194.892007757</v>
      </c>
      <c r="AM11" s="1060">
        <f t="shared" si="13"/>
        <v>-5.3197485132481744E-2</v>
      </c>
      <c r="AN11" s="1012">
        <f t="shared" si="14"/>
        <v>-1330074.250719998</v>
      </c>
      <c r="AO11" s="1061">
        <f>AJ11*1.1</f>
        <v>26039753.696000002</v>
      </c>
      <c r="AP11" s="1012">
        <v>27145764.34</v>
      </c>
      <c r="AQ11" s="1012">
        <f t="shared" si="15"/>
        <v>1106010.6439999975</v>
      </c>
      <c r="AR11" s="1062">
        <f t="shared" si="16"/>
        <v>26560548.769920003</v>
      </c>
      <c r="AS11" s="1063">
        <f t="shared" si="4"/>
        <v>27091759.745318402</v>
      </c>
      <c r="AT11" s="1064">
        <v>28500000</v>
      </c>
      <c r="AU11" s="1065">
        <v>28270303.02</v>
      </c>
      <c r="AV11" s="1066">
        <f t="shared" si="17"/>
        <v>28892249.686439998</v>
      </c>
      <c r="AW11" s="1067">
        <f>AT11*1.02</f>
        <v>29070000</v>
      </c>
      <c r="AX11" s="1068">
        <f>AW11*1.02</f>
        <v>29651400</v>
      </c>
      <c r="AY11" s="1067">
        <f>AX11*1.02</f>
        <v>30244428</v>
      </c>
      <c r="AZ11" s="185"/>
      <c r="BA11" s="185"/>
      <c r="BE11" s="368"/>
      <c r="BF11" s="1011"/>
      <c r="BG11" s="1011"/>
      <c r="BH11" s="1012"/>
      <c r="BI11" s="1012"/>
      <c r="BJ11" s="1012"/>
      <c r="BK11" s="1069"/>
      <c r="BN11" s="185"/>
      <c r="BQ11" s="185"/>
      <c r="BS11" s="368"/>
      <c r="BT11" s="368"/>
      <c r="BU11" s="368"/>
      <c r="CB11" s="371"/>
      <c r="CD11" s="183"/>
    </row>
    <row r="12" spans="1:82">
      <c r="A12" s="1038" t="s">
        <v>1388</v>
      </c>
      <c r="B12" s="1074" t="s">
        <v>1389</v>
      </c>
      <c r="C12" s="1075">
        <v>34570864</v>
      </c>
      <c r="D12" s="1076">
        <v>36500000</v>
      </c>
      <c r="E12" s="1077">
        <v>35636066</v>
      </c>
      <c r="F12" s="1077">
        <f t="shared" si="5"/>
        <v>1065202</v>
      </c>
      <c r="G12" s="1077">
        <v>36500000</v>
      </c>
      <c r="H12" s="1078">
        <v>41121477.841353908</v>
      </c>
      <c r="I12" s="1077">
        <f t="shared" si="0"/>
        <v>4621477.8413539082</v>
      </c>
      <c r="J12" s="1079">
        <v>43904529</v>
      </c>
      <c r="K12" s="1078">
        <f>H12*1.1</f>
        <v>45233625.625489302</v>
      </c>
      <c r="L12" s="1080">
        <f>K12*1.05</f>
        <v>47495306.90676377</v>
      </c>
      <c r="M12" s="1081">
        <f t="shared" si="6"/>
        <v>49870072.252101958</v>
      </c>
      <c r="N12" s="1081">
        <v>46690000</v>
      </c>
      <c r="O12" s="1081">
        <f t="shared" si="7"/>
        <v>49024500</v>
      </c>
      <c r="P12" s="1081" t="e">
        <f>'[3]Výsledovka 2020 1111'!#REF!</f>
        <v>#REF!</v>
      </c>
      <c r="Q12" s="1082" t="e">
        <f t="shared" si="8"/>
        <v>#REF!</v>
      </c>
      <c r="R12" s="1083" t="e">
        <f>P12/O12</f>
        <v>#REF!</v>
      </c>
      <c r="S12" s="1081">
        <f t="shared" si="9"/>
        <v>49024500</v>
      </c>
      <c r="T12" s="1081">
        <f>58228005+18910612+3104219</f>
        <v>80242836</v>
      </c>
      <c r="U12" s="1081"/>
      <c r="V12" s="1084"/>
      <c r="W12" s="462">
        <f>'[4]1111-střednědobý výhled'!Y12</f>
        <v>71617148.682983607</v>
      </c>
      <c r="X12" s="463">
        <v>1.17</v>
      </c>
      <c r="Y12" s="1085">
        <f t="shared" si="10"/>
        <v>83792063.959090814</v>
      </c>
      <c r="Z12" s="464">
        <f>[5]List1!$J$26+[5]List1!$J$28+[5]List1!$J$30</f>
        <v>494522.2</v>
      </c>
      <c r="AA12" s="462">
        <f t="shared" si="1"/>
        <v>-79748313.799999997</v>
      </c>
      <c r="AB12" s="1085">
        <f t="shared" si="2"/>
        <v>-83297541.759090811</v>
      </c>
      <c r="AC12" s="465">
        <f t="shared" si="3"/>
        <v>5.9017784815688151E-3</v>
      </c>
      <c r="AD12" s="466">
        <f>'[6]Mzdové náklady 2022'!J11</f>
        <v>93431125.3493976</v>
      </c>
      <c r="AE12" s="467">
        <v>95772045.030000001</v>
      </c>
      <c r="AF12" s="468">
        <f t="shared" si="11"/>
        <v>2340919.6806024015</v>
      </c>
      <c r="AG12" s="469">
        <f>AD12*1</f>
        <v>93431125.3493976</v>
      </c>
      <c r="AH12" s="1086">
        <f>'[6]mzdy 2023'!L4</f>
        <v>102818365</v>
      </c>
      <c r="AI12" s="1087">
        <f t="shared" si="12"/>
        <v>7046319.9699999988</v>
      </c>
      <c r="AJ12" s="1088">
        <f>75208144+24407253+4234095</f>
        <v>103849492</v>
      </c>
      <c r="AK12" s="1089">
        <f>AH12*AK3</f>
        <v>105388824.12499999</v>
      </c>
      <c r="AL12" s="1090">
        <f>AK12*AL3</f>
        <v>107496600.60749999</v>
      </c>
      <c r="AM12" s="1091">
        <f t="shared" si="13"/>
        <v>1.002862669524068E-2</v>
      </c>
      <c r="AN12" s="1081">
        <f t="shared" si="14"/>
        <v>1031127</v>
      </c>
      <c r="AO12" s="1092">
        <f>'[6]Mzdy 24'!J26</f>
        <v>109650989.70688561</v>
      </c>
      <c r="AP12" s="1093">
        <v>113974339.04000001</v>
      </c>
      <c r="AQ12" s="1081">
        <f t="shared" si="15"/>
        <v>4323349.3331144005</v>
      </c>
      <c r="AR12" s="1094">
        <f>AO12</f>
        <v>109650989.70688561</v>
      </c>
      <c r="AS12" s="1095">
        <f>AR12</f>
        <v>109650989.70688561</v>
      </c>
      <c r="AT12" s="1096">
        <f>'[6]mzdy 2025'!M3</f>
        <v>121241424.56747229</v>
      </c>
      <c r="AU12" s="1097">
        <v>125760716.01000001</v>
      </c>
      <c r="AV12" s="1098">
        <f>'Mzdy 2026'!L4</f>
        <v>126885654.90000001</v>
      </c>
      <c r="AW12" s="1099">
        <f>AT12*1.02</f>
        <v>123666253.05882174</v>
      </c>
      <c r="AX12" s="1100">
        <f>AW12*1.05</f>
        <v>129849565.71176283</v>
      </c>
      <c r="AY12" s="1067">
        <f>AX12*1.02</f>
        <v>132446557.02599809</v>
      </c>
      <c r="AZ12" s="185"/>
      <c r="BA12" s="185"/>
      <c r="BE12" s="368"/>
      <c r="BF12" s="1011"/>
      <c r="BG12" s="1011"/>
      <c r="BH12" s="1012"/>
      <c r="BI12" s="1012"/>
      <c r="BJ12" s="1012"/>
      <c r="BK12" s="1069"/>
      <c r="BN12" s="185"/>
      <c r="BQ12" s="185"/>
      <c r="BS12" s="368"/>
      <c r="BT12" s="368"/>
      <c r="BU12" s="368"/>
      <c r="CB12" s="371"/>
      <c r="CD12" s="470"/>
    </row>
    <row r="13" spans="1:82" ht="14.4" hidden="1" customHeight="1">
      <c r="A13" s="1038" t="s">
        <v>1390</v>
      </c>
      <c r="B13" s="1039" t="s">
        <v>1391</v>
      </c>
      <c r="C13" s="1040">
        <v>11317658.060000001</v>
      </c>
      <c r="D13" s="1041">
        <v>12563300</v>
      </c>
      <c r="E13" s="1042">
        <v>11771061.210000001</v>
      </c>
      <c r="F13" s="1043">
        <f t="shared" si="5"/>
        <v>453403.15000000037</v>
      </c>
      <c r="G13" s="1043">
        <v>12563300</v>
      </c>
      <c r="H13" s="1044">
        <v>13981302.466060329</v>
      </c>
      <c r="I13" s="1043">
        <f t="shared" si="0"/>
        <v>1418002.4660603292</v>
      </c>
      <c r="J13" s="1071">
        <v>14591750</v>
      </c>
      <c r="K13" s="1046">
        <f>K12*0.34</f>
        <v>15379432.712666364</v>
      </c>
      <c r="L13" s="1047">
        <f>L12*0.34</f>
        <v>16148404.348299682</v>
      </c>
      <c r="M13" s="1048">
        <f t="shared" si="6"/>
        <v>16955824.565714668</v>
      </c>
      <c r="N13" s="1049">
        <v>16050000</v>
      </c>
      <c r="O13" s="1050">
        <f t="shared" si="7"/>
        <v>16852500</v>
      </c>
      <c r="P13" s="1050" t="e">
        <f>'[3]Výsledovka 2020 1111'!#REF!</f>
        <v>#REF!</v>
      </c>
      <c r="Q13" s="1050" t="e">
        <f t="shared" si="8"/>
        <v>#REF!</v>
      </c>
      <c r="R13" s="1051" t="e">
        <f>P13/O13</f>
        <v>#REF!</v>
      </c>
      <c r="S13" s="1050">
        <f t="shared" si="9"/>
        <v>16852500</v>
      </c>
      <c r="T13" s="1012"/>
      <c r="U13" s="1012"/>
      <c r="V13" s="1052"/>
      <c r="W13" s="452"/>
      <c r="X13" s="453"/>
      <c r="Y13" s="1053"/>
      <c r="Z13" s="1053"/>
      <c r="AA13" s="452">
        <f t="shared" si="1"/>
        <v>0</v>
      </c>
      <c r="AB13" s="1053">
        <f t="shared" si="2"/>
        <v>0</v>
      </c>
      <c r="AC13" s="454"/>
      <c r="AD13" s="1054">
        <v>0</v>
      </c>
      <c r="AE13" s="455">
        <v>0</v>
      </c>
      <c r="AF13" s="456">
        <f t="shared" si="11"/>
        <v>0</v>
      </c>
      <c r="AG13" s="1101">
        <v>0</v>
      </c>
      <c r="AH13" s="1056"/>
      <c r="AI13" s="1057">
        <f t="shared" si="12"/>
        <v>0</v>
      </c>
      <c r="AJ13" s="1058"/>
      <c r="AK13" s="1102"/>
      <c r="AL13" s="1103"/>
      <c r="AM13" s="1060"/>
      <c r="AN13" s="1012">
        <f t="shared" si="14"/>
        <v>0</v>
      </c>
      <c r="AO13" s="1061">
        <f t="shared" si="19"/>
        <v>0</v>
      </c>
      <c r="AP13" s="1012"/>
      <c r="AQ13" s="1012">
        <f t="shared" si="15"/>
        <v>0</v>
      </c>
      <c r="AR13" s="1062">
        <f t="shared" ref="AR13:AR28" si="20">AO13*1.03</f>
        <v>0</v>
      </c>
      <c r="AS13" s="1063">
        <f t="shared" ref="AS13:AS22" si="21">AR13*1.02</f>
        <v>0</v>
      </c>
      <c r="AT13" s="1096"/>
      <c r="AU13" s="1097"/>
      <c r="AV13" s="1098"/>
      <c r="AW13" s="1099"/>
      <c r="AX13" s="1100"/>
      <c r="AY13" s="1067"/>
      <c r="AZ13" s="185"/>
      <c r="BA13" s="185"/>
      <c r="BE13" s="368"/>
      <c r="BF13" s="1011"/>
      <c r="BG13" s="1011"/>
      <c r="BH13" s="1012"/>
      <c r="BI13" s="1012"/>
      <c r="BJ13" s="1012"/>
      <c r="BK13" s="1069"/>
      <c r="BN13" s="185"/>
      <c r="BQ13" s="185"/>
      <c r="BS13" s="368"/>
      <c r="BT13" s="368"/>
      <c r="BU13" s="368"/>
      <c r="CB13" s="371"/>
      <c r="CD13" s="183"/>
    </row>
    <row r="14" spans="1:82" ht="14.4" hidden="1" customHeight="1">
      <c r="A14" s="1038" t="s">
        <v>1392</v>
      </c>
      <c r="B14" s="1039" t="s">
        <v>1393</v>
      </c>
      <c r="C14" s="1040">
        <v>609995</v>
      </c>
      <c r="D14" s="1041">
        <v>750000</v>
      </c>
      <c r="E14" s="1042">
        <v>1480189</v>
      </c>
      <c r="F14" s="1043">
        <f t="shared" si="5"/>
        <v>870194</v>
      </c>
      <c r="G14" s="1043">
        <v>780000</v>
      </c>
      <c r="H14" s="1044">
        <v>100000</v>
      </c>
      <c r="I14" s="1043">
        <f t="shared" si="0"/>
        <v>-680000</v>
      </c>
      <c r="J14" s="1071">
        <v>845460</v>
      </c>
      <c r="K14" s="1046">
        <v>150000</v>
      </c>
      <c r="L14" s="1047">
        <v>105060</v>
      </c>
      <c r="M14" s="1048">
        <f t="shared" si="6"/>
        <v>110313</v>
      </c>
      <c r="N14" s="1049">
        <v>850000</v>
      </c>
      <c r="O14" s="1050">
        <f t="shared" si="7"/>
        <v>892500</v>
      </c>
      <c r="P14" s="1050" t="e">
        <f>'[3]Výsledovka 2020 1111'!#REF!</f>
        <v>#REF!</v>
      </c>
      <c r="Q14" s="1050" t="e">
        <f t="shared" si="8"/>
        <v>#REF!</v>
      </c>
      <c r="R14" s="1051" t="e">
        <f>P14/O14</f>
        <v>#REF!</v>
      </c>
      <c r="S14" s="1050">
        <f t="shared" si="9"/>
        <v>892500</v>
      </c>
      <c r="T14" s="1012"/>
      <c r="U14" s="1012"/>
      <c r="V14" s="1052"/>
      <c r="W14" s="452"/>
      <c r="X14" s="453"/>
      <c r="Y14" s="1053"/>
      <c r="Z14" s="1053"/>
      <c r="AA14" s="452"/>
      <c r="AB14" s="1053">
        <f t="shared" si="2"/>
        <v>0</v>
      </c>
      <c r="AC14" s="454"/>
      <c r="AD14" s="1054">
        <v>0</v>
      </c>
      <c r="AE14" s="455">
        <v>0</v>
      </c>
      <c r="AF14" s="456">
        <f t="shared" si="11"/>
        <v>0</v>
      </c>
      <c r="AG14" s="1101">
        <v>0</v>
      </c>
      <c r="AH14" s="1056"/>
      <c r="AI14" s="1057">
        <f t="shared" si="12"/>
        <v>0</v>
      </c>
      <c r="AJ14" s="1058"/>
      <c r="AK14" s="1059"/>
      <c r="AL14" s="1012"/>
      <c r="AM14" s="1060"/>
      <c r="AN14" s="1012">
        <f t="shared" si="14"/>
        <v>0</v>
      </c>
      <c r="AO14" s="1061">
        <f t="shared" si="19"/>
        <v>0</v>
      </c>
      <c r="AP14" s="1012"/>
      <c r="AQ14" s="1012">
        <f t="shared" si="15"/>
        <v>0</v>
      </c>
      <c r="AR14" s="1062">
        <f t="shared" si="20"/>
        <v>0</v>
      </c>
      <c r="AS14" s="1063">
        <f t="shared" si="21"/>
        <v>0</v>
      </c>
      <c r="AT14" s="1096"/>
      <c r="AU14" s="1097"/>
      <c r="AV14" s="1098"/>
      <c r="AW14" s="1099"/>
      <c r="AX14" s="1100"/>
      <c r="AY14" s="1067"/>
      <c r="AZ14" s="185"/>
      <c r="BA14" s="185"/>
      <c r="BE14" s="368"/>
      <c r="BF14" s="1011"/>
      <c r="BG14" s="1011"/>
      <c r="BH14" s="1012"/>
      <c r="BI14" s="1012"/>
      <c r="BJ14" s="1012"/>
      <c r="BK14" s="1069"/>
      <c r="BN14" s="185"/>
      <c r="BQ14" s="185"/>
      <c r="BS14" s="368"/>
      <c r="BT14" s="368"/>
      <c r="BU14" s="368"/>
      <c r="CB14" s="371"/>
      <c r="CD14" s="183"/>
    </row>
    <row r="15" spans="1:82">
      <c r="A15" s="1038" t="s">
        <v>1394</v>
      </c>
      <c r="B15" s="1039" t="s">
        <v>1395</v>
      </c>
      <c r="C15" s="1040">
        <v>5850</v>
      </c>
      <c r="D15" s="1041">
        <v>6500</v>
      </c>
      <c r="E15" s="1104">
        <v>5850</v>
      </c>
      <c r="F15" s="1105">
        <f t="shared" si="5"/>
        <v>0</v>
      </c>
      <c r="G15" s="1105">
        <v>6300</v>
      </c>
      <c r="H15" s="1106">
        <v>6500</v>
      </c>
      <c r="I15" s="1105">
        <f t="shared" si="0"/>
        <v>200</v>
      </c>
      <c r="J15" s="1071">
        <v>6788</v>
      </c>
      <c r="K15" s="1107">
        <v>6500</v>
      </c>
      <c r="L15" s="1108">
        <v>6828.9000000000005</v>
      </c>
      <c r="M15" s="1048">
        <f t="shared" si="6"/>
        <v>7170.3450000000012</v>
      </c>
      <c r="N15" s="1049">
        <v>7000</v>
      </c>
      <c r="O15" s="1050">
        <f t="shared" si="7"/>
        <v>7350</v>
      </c>
      <c r="P15" s="1050" t="e">
        <f>'[3]Výsledovka 2020 1111'!#REF!</f>
        <v>#REF!</v>
      </c>
      <c r="Q15" s="1050" t="e">
        <f t="shared" si="8"/>
        <v>#REF!</v>
      </c>
      <c r="R15" s="1051" t="e">
        <f>P15/O15</f>
        <v>#REF!</v>
      </c>
      <c r="S15" s="1050">
        <f t="shared" si="9"/>
        <v>7350</v>
      </c>
      <c r="T15" s="1012">
        <v>6900</v>
      </c>
      <c r="U15" s="1012"/>
      <c r="V15" s="1052"/>
      <c r="W15" s="452">
        <f>'[4]1111-střednědobý výhled'!Y15</f>
        <v>6900</v>
      </c>
      <c r="X15" s="453"/>
      <c r="Y15" s="1053">
        <v>7200</v>
      </c>
      <c r="Z15" s="1053">
        <f>[5]List1!$J$32</f>
        <v>0</v>
      </c>
      <c r="AA15" s="452">
        <f t="shared" ref="AA15:AA30" si="22">Z15-T15</f>
        <v>-6900</v>
      </c>
      <c r="AB15" s="1053">
        <f t="shared" si="2"/>
        <v>-7200</v>
      </c>
      <c r="AC15" s="454">
        <f>Z15/Y15</f>
        <v>0</v>
      </c>
      <c r="AD15" s="1054">
        <v>8100</v>
      </c>
      <c r="AE15" s="1109">
        <v>0</v>
      </c>
      <c r="AF15" s="456">
        <f t="shared" si="11"/>
        <v>-8100</v>
      </c>
      <c r="AG15" s="1055">
        <f>'[4]1111-střednědobý výhled'!AA15</f>
        <v>10350</v>
      </c>
      <c r="AH15" s="1056">
        <v>0</v>
      </c>
      <c r="AI15" s="1057">
        <f t="shared" si="12"/>
        <v>0</v>
      </c>
      <c r="AJ15" s="1058">
        <v>922</v>
      </c>
      <c r="AK15" s="1059">
        <v>0</v>
      </c>
      <c r="AL15" s="1012">
        <v>0</v>
      </c>
      <c r="AM15" s="1060"/>
      <c r="AN15" s="1012">
        <f t="shared" si="14"/>
        <v>922</v>
      </c>
      <c r="AO15" s="1061">
        <v>2500</v>
      </c>
      <c r="AP15" s="1069">
        <v>0</v>
      </c>
      <c r="AQ15" s="1012">
        <f t="shared" si="15"/>
        <v>-2500</v>
      </c>
      <c r="AR15" s="1062">
        <f t="shared" si="20"/>
        <v>2575</v>
      </c>
      <c r="AS15" s="1063">
        <f t="shared" si="21"/>
        <v>2626.5</v>
      </c>
      <c r="AT15" s="1096">
        <v>2500</v>
      </c>
      <c r="AU15" s="1097">
        <v>0</v>
      </c>
      <c r="AV15" s="1098">
        <v>0</v>
      </c>
      <c r="AW15" s="1099">
        <v>2500</v>
      </c>
      <c r="AX15" s="1100">
        <v>0</v>
      </c>
      <c r="AY15" s="1067">
        <v>0</v>
      </c>
      <c r="AZ15" s="185"/>
      <c r="BA15" s="185"/>
      <c r="BE15" s="368"/>
      <c r="BF15" s="1011"/>
      <c r="BG15" s="1011"/>
      <c r="BH15" s="1012"/>
      <c r="BI15" s="1012"/>
      <c r="BJ15" s="1012"/>
      <c r="BK15" s="1069"/>
      <c r="BN15" s="185"/>
      <c r="BQ15" s="185"/>
      <c r="BS15" s="368"/>
      <c r="BT15" s="368"/>
      <c r="BU15" s="368"/>
      <c r="CB15" s="371"/>
      <c r="CD15" s="183"/>
    </row>
    <row r="16" spans="1:82">
      <c r="A16" s="1038">
        <v>532</v>
      </c>
      <c r="B16" s="1039" t="s">
        <v>1396</v>
      </c>
      <c r="C16" s="1040"/>
      <c r="D16" s="1041"/>
      <c r="E16" s="1104"/>
      <c r="F16" s="1105"/>
      <c r="G16" s="1105"/>
      <c r="H16" s="1106"/>
      <c r="I16" s="1105"/>
      <c r="J16" s="1071"/>
      <c r="K16" s="1107"/>
      <c r="L16" s="1108"/>
      <c r="M16" s="1048"/>
      <c r="N16" s="1049"/>
      <c r="O16" s="1050"/>
      <c r="P16" s="1050"/>
      <c r="Q16" s="1050"/>
      <c r="R16" s="1051"/>
      <c r="S16" s="1050"/>
      <c r="T16" s="1012"/>
      <c r="U16" s="1012"/>
      <c r="V16" s="1052"/>
      <c r="W16" s="452"/>
      <c r="X16" s="453"/>
      <c r="Y16" s="1053"/>
      <c r="Z16" s="1053"/>
      <c r="AA16" s="452"/>
      <c r="AB16" s="1053"/>
      <c r="AC16" s="454"/>
      <c r="AD16" s="1054"/>
      <c r="AE16" s="1109"/>
      <c r="AF16" s="456"/>
      <c r="AG16" s="1055"/>
      <c r="AH16" s="1056"/>
      <c r="AI16" s="1057"/>
      <c r="AJ16" s="1058"/>
      <c r="AK16" s="1059"/>
      <c r="AL16" s="1012"/>
      <c r="AM16" s="1060"/>
      <c r="AN16" s="1012"/>
      <c r="AO16" s="1061"/>
      <c r="AP16" s="1069"/>
      <c r="AQ16" s="1012"/>
      <c r="AR16" s="1062"/>
      <c r="AS16" s="1063"/>
      <c r="AT16" s="1096"/>
      <c r="AU16" s="1097">
        <v>271</v>
      </c>
      <c r="AV16" s="1098">
        <v>271</v>
      </c>
      <c r="AW16" s="1099"/>
      <c r="AX16" s="1100">
        <v>271</v>
      </c>
      <c r="AY16" s="1067">
        <v>271</v>
      </c>
      <c r="AZ16" s="185"/>
      <c r="BA16" s="185"/>
      <c r="BE16" s="368"/>
      <c r="BF16" s="1011"/>
      <c r="BG16" s="1011"/>
      <c r="BH16" s="1012"/>
      <c r="BI16" s="1012"/>
      <c r="BJ16" s="1012"/>
      <c r="BK16" s="1069"/>
      <c r="BN16" s="185"/>
      <c r="BQ16" s="185"/>
      <c r="BS16" s="368"/>
      <c r="BT16" s="368"/>
      <c r="BU16" s="368"/>
      <c r="CB16" s="371"/>
      <c r="CD16" s="183"/>
    </row>
    <row r="17" spans="1:82">
      <c r="A17" s="1038" t="s">
        <v>1397</v>
      </c>
      <c r="B17" s="1039" t="s">
        <v>1398</v>
      </c>
      <c r="C17" s="1040">
        <v>30000</v>
      </c>
      <c r="D17" s="1041">
        <v>10000</v>
      </c>
      <c r="E17" s="1104">
        <v>0</v>
      </c>
      <c r="F17" s="1105">
        <f t="shared" si="5"/>
        <v>-30000</v>
      </c>
      <c r="G17" s="1105">
        <v>10000</v>
      </c>
      <c r="H17" s="1106">
        <v>10000</v>
      </c>
      <c r="I17" s="1105">
        <f t="shared" si="0"/>
        <v>0</v>
      </c>
      <c r="J17" s="1071">
        <v>0</v>
      </c>
      <c r="K17" s="1107">
        <v>10000</v>
      </c>
      <c r="L17" s="1108">
        <v>10506</v>
      </c>
      <c r="M17" s="1048">
        <f t="shared" si="6"/>
        <v>11031.300000000001</v>
      </c>
      <c r="N17" s="1049">
        <v>0</v>
      </c>
      <c r="O17" s="1050">
        <f t="shared" si="7"/>
        <v>0</v>
      </c>
      <c r="P17" s="1050" t="e">
        <f>'[3]Výsledovka 2020 1111'!#REF!</f>
        <v>#REF!</v>
      </c>
      <c r="Q17" s="1050" t="e">
        <f t="shared" si="8"/>
        <v>#REF!</v>
      </c>
      <c r="R17" s="1051"/>
      <c r="S17" s="1050">
        <f t="shared" si="9"/>
        <v>0</v>
      </c>
      <c r="T17" s="1012">
        <v>702</v>
      </c>
      <c r="U17" s="1012"/>
      <c r="V17" s="1052"/>
      <c r="W17" s="452">
        <f>'[4]1111-střednědobý výhled'!Y16</f>
        <v>2000</v>
      </c>
      <c r="X17" s="453"/>
      <c r="Y17" s="1053">
        <v>2000</v>
      </c>
      <c r="Z17" s="1053">
        <f>[5]List1!$J$34</f>
        <v>222397</v>
      </c>
      <c r="AA17" s="452">
        <f t="shared" si="22"/>
        <v>221695</v>
      </c>
      <c r="AB17" s="1053">
        <f t="shared" si="2"/>
        <v>220397</v>
      </c>
      <c r="AC17" s="454">
        <f>Z17/Y17</f>
        <v>111.1985</v>
      </c>
      <c r="AD17" s="1054">
        <v>1000</v>
      </c>
      <c r="AE17" s="1109">
        <v>8820.94</v>
      </c>
      <c r="AF17" s="456">
        <f t="shared" si="11"/>
        <v>7820.9400000000005</v>
      </c>
      <c r="AG17" s="1101">
        <f>'[4]1111-střednědobý výhled'!AA16</f>
        <v>2000</v>
      </c>
      <c r="AH17" s="1056">
        <v>10000</v>
      </c>
      <c r="AI17" s="1057">
        <f t="shared" si="12"/>
        <v>1179.0599999999995</v>
      </c>
      <c r="AJ17" s="1058"/>
      <c r="AK17" s="1059">
        <v>10000</v>
      </c>
      <c r="AL17" s="1012">
        <v>10000</v>
      </c>
      <c r="AM17" s="1060">
        <f t="shared" si="13"/>
        <v>-1</v>
      </c>
      <c r="AN17" s="1012">
        <f t="shared" si="14"/>
        <v>-10000</v>
      </c>
      <c r="AO17" s="1061">
        <v>10000</v>
      </c>
      <c r="AP17" s="1012">
        <v>0</v>
      </c>
      <c r="AQ17" s="1012">
        <f t="shared" si="15"/>
        <v>-10000</v>
      </c>
      <c r="AR17" s="1062">
        <f t="shared" si="20"/>
        <v>10300</v>
      </c>
      <c r="AS17" s="1063">
        <f t="shared" si="21"/>
        <v>10506</v>
      </c>
      <c r="AT17" s="1096">
        <v>5000</v>
      </c>
      <c r="AU17" s="1097">
        <v>0</v>
      </c>
      <c r="AV17" s="1098">
        <v>0</v>
      </c>
      <c r="AW17" s="1099">
        <v>5000</v>
      </c>
      <c r="AX17" s="1100">
        <v>0</v>
      </c>
      <c r="AY17" s="1067">
        <v>0</v>
      </c>
      <c r="AZ17" s="185"/>
      <c r="BA17" s="185"/>
      <c r="BE17" s="368"/>
      <c r="BF17" s="1011"/>
      <c r="BG17" s="1011"/>
      <c r="BH17" s="1012"/>
      <c r="BI17" s="1012"/>
      <c r="BJ17" s="1012"/>
      <c r="BK17" s="1069"/>
      <c r="BN17" s="185"/>
      <c r="BQ17" s="185"/>
      <c r="BS17" s="368"/>
      <c r="BT17" s="368"/>
      <c r="BU17" s="368"/>
      <c r="CB17" s="371"/>
      <c r="CD17" s="183"/>
    </row>
    <row r="18" spans="1:82">
      <c r="A18" s="1110">
        <v>541</v>
      </c>
      <c r="B18" s="1039" t="s">
        <v>1399</v>
      </c>
      <c r="C18" s="1111">
        <v>0</v>
      </c>
      <c r="D18" s="1041">
        <v>0</v>
      </c>
      <c r="E18" s="1104">
        <v>0</v>
      </c>
      <c r="F18" s="1105">
        <f t="shared" si="5"/>
        <v>0</v>
      </c>
      <c r="G18" s="1105">
        <v>0</v>
      </c>
      <c r="H18" s="1106">
        <v>0</v>
      </c>
      <c r="I18" s="1105">
        <f t="shared" si="0"/>
        <v>0</v>
      </c>
      <c r="J18" s="1071">
        <v>0</v>
      </c>
      <c r="K18" s="1107">
        <v>0</v>
      </c>
      <c r="L18" s="1108">
        <v>0</v>
      </c>
      <c r="M18" s="1048">
        <f t="shared" si="6"/>
        <v>0</v>
      </c>
      <c r="N18" s="1049">
        <v>0</v>
      </c>
      <c r="O18" s="1050">
        <f t="shared" si="7"/>
        <v>0</v>
      </c>
      <c r="P18" s="1050" t="e">
        <f>'[3]Výsledovka 2020 1111'!#REF!</f>
        <v>#REF!</v>
      </c>
      <c r="Q18" s="1050" t="e">
        <f t="shared" si="8"/>
        <v>#REF!</v>
      </c>
      <c r="R18" s="1051"/>
      <c r="S18" s="1050">
        <f t="shared" si="9"/>
        <v>0</v>
      </c>
      <c r="T18" s="1012">
        <v>42172</v>
      </c>
      <c r="U18" s="1012"/>
      <c r="V18" s="1052"/>
      <c r="W18" s="452">
        <f>'[4]1111-střednědobý výhled'!Y17</f>
        <v>0</v>
      </c>
      <c r="X18" s="453"/>
      <c r="Y18" s="1053">
        <f t="shared" si="10"/>
        <v>0</v>
      </c>
      <c r="Z18" s="1053">
        <f>[5]List1!$J$36</f>
        <v>0</v>
      </c>
      <c r="AA18" s="452">
        <f t="shared" si="22"/>
        <v>-42172</v>
      </c>
      <c r="AB18" s="1053">
        <f t="shared" si="2"/>
        <v>0</v>
      </c>
      <c r="AC18" s="454"/>
      <c r="AD18" s="1054">
        <v>0</v>
      </c>
      <c r="AE18" s="1109">
        <v>-500</v>
      </c>
      <c r="AF18" s="456">
        <f t="shared" si="11"/>
        <v>-500</v>
      </c>
      <c r="AG18" s="1101">
        <f>'[4]1111-střednědobý výhled'!AA17</f>
        <v>0</v>
      </c>
      <c r="AH18" s="1056">
        <v>0</v>
      </c>
      <c r="AI18" s="1057">
        <f t="shared" si="12"/>
        <v>500</v>
      </c>
      <c r="AJ18" s="1058"/>
      <c r="AK18" s="1059">
        <v>0</v>
      </c>
      <c r="AL18" s="1012">
        <v>0</v>
      </c>
      <c r="AM18" s="1060"/>
      <c r="AN18" s="1012">
        <f t="shared" si="14"/>
        <v>0</v>
      </c>
      <c r="AO18" s="1061">
        <f t="shared" si="19"/>
        <v>0</v>
      </c>
      <c r="AP18" s="1012"/>
      <c r="AQ18" s="1012">
        <f t="shared" si="15"/>
        <v>0</v>
      </c>
      <c r="AR18" s="1062">
        <f t="shared" si="20"/>
        <v>0</v>
      </c>
      <c r="AS18" s="1063">
        <f t="shared" si="21"/>
        <v>0</v>
      </c>
      <c r="AT18" s="1064"/>
      <c r="AU18" s="1065"/>
      <c r="AV18" s="1066">
        <v>0</v>
      </c>
      <c r="AW18" s="1067"/>
      <c r="AX18" s="1068"/>
      <c r="AY18" s="1067"/>
      <c r="AZ18" s="185"/>
      <c r="BA18" s="185"/>
      <c r="BE18" s="368"/>
      <c r="BF18" s="1011"/>
      <c r="BG18" s="1011"/>
      <c r="BH18" s="1012"/>
      <c r="BI18" s="1012"/>
      <c r="BJ18" s="1012"/>
      <c r="BK18" s="1069"/>
      <c r="BN18" s="185"/>
      <c r="BQ18" s="185"/>
      <c r="BS18" s="368"/>
      <c r="BT18" s="368"/>
      <c r="BU18" s="368"/>
      <c r="CB18" s="371"/>
      <c r="CD18" s="183"/>
    </row>
    <row r="19" spans="1:82">
      <c r="A19" s="1038" t="s">
        <v>1400</v>
      </c>
      <c r="B19" s="1039" t="s">
        <v>1401</v>
      </c>
      <c r="C19" s="1040">
        <v>5516.48</v>
      </c>
      <c r="D19" s="1041">
        <v>5000</v>
      </c>
      <c r="E19" s="1104">
        <v>97630.720000000016</v>
      </c>
      <c r="F19" s="1105">
        <f t="shared" si="5"/>
        <v>92114.24000000002</v>
      </c>
      <c r="G19" s="1105">
        <v>5000</v>
      </c>
      <c r="H19" s="1106">
        <v>5000</v>
      </c>
      <c r="I19" s="1105">
        <f t="shared" si="0"/>
        <v>0</v>
      </c>
      <c r="J19" s="1071">
        <v>0</v>
      </c>
      <c r="K19" s="1107">
        <v>10000</v>
      </c>
      <c r="L19" s="1108">
        <v>5253</v>
      </c>
      <c r="M19" s="1048">
        <f t="shared" si="6"/>
        <v>5515.6500000000005</v>
      </c>
      <c r="N19" s="1049">
        <v>0</v>
      </c>
      <c r="O19" s="1050">
        <f t="shared" si="7"/>
        <v>0</v>
      </c>
      <c r="P19" s="1050" t="e">
        <f>'[3]Výsledovka 2020 1111'!#REF!</f>
        <v>#REF!</v>
      </c>
      <c r="Q19" s="1050" t="e">
        <f t="shared" si="8"/>
        <v>#REF!</v>
      </c>
      <c r="R19" s="1051"/>
      <c r="S19" s="1050">
        <f t="shared" si="9"/>
        <v>0</v>
      </c>
      <c r="T19" s="1012"/>
      <c r="U19" s="1012"/>
      <c r="V19" s="1052"/>
      <c r="W19" s="452">
        <f>'[4]1111-střednědobý výhled'!Y18</f>
        <v>0</v>
      </c>
      <c r="X19" s="453"/>
      <c r="Y19" s="1053">
        <f t="shared" si="10"/>
        <v>0</v>
      </c>
      <c r="Z19" s="1053">
        <f>[5]List1!$J$38</f>
        <v>0</v>
      </c>
      <c r="AA19" s="452">
        <f t="shared" si="22"/>
        <v>0</v>
      </c>
      <c r="AB19" s="1053">
        <f t="shared" si="2"/>
        <v>0</v>
      </c>
      <c r="AC19" s="454"/>
      <c r="AD19" s="1054">
        <v>0</v>
      </c>
      <c r="AE19" s="1109">
        <v>0</v>
      </c>
      <c r="AF19" s="456">
        <f t="shared" si="11"/>
        <v>0</v>
      </c>
      <c r="AG19" s="1101">
        <f>'[4]1111-střednědobý výhled'!AA18</f>
        <v>0</v>
      </c>
      <c r="AH19" s="1056">
        <f>750*24</f>
        <v>18000</v>
      </c>
      <c r="AI19" s="1057">
        <f t="shared" si="12"/>
        <v>18000</v>
      </c>
      <c r="AJ19" s="1058"/>
      <c r="AK19" s="1059">
        <v>0</v>
      </c>
      <c r="AL19" s="1012">
        <v>0</v>
      </c>
      <c r="AM19" s="1060">
        <f t="shared" si="13"/>
        <v>-1</v>
      </c>
      <c r="AN19" s="1012">
        <f t="shared" si="14"/>
        <v>-18000</v>
      </c>
      <c r="AO19" s="1061">
        <f t="shared" si="19"/>
        <v>0</v>
      </c>
      <c r="AP19" s="1012"/>
      <c r="AQ19" s="1012">
        <f t="shared" si="15"/>
        <v>0</v>
      </c>
      <c r="AR19" s="1062">
        <f t="shared" si="20"/>
        <v>0</v>
      </c>
      <c r="AS19" s="1063">
        <f t="shared" si="21"/>
        <v>0</v>
      </c>
      <c r="AT19" s="1064"/>
      <c r="AU19" s="1065"/>
      <c r="AV19" s="1066">
        <v>0</v>
      </c>
      <c r="AW19" s="1067"/>
      <c r="AX19" s="1068"/>
      <c r="AY19" s="1067"/>
      <c r="AZ19" s="185"/>
      <c r="BA19" s="185"/>
      <c r="BE19" s="368"/>
      <c r="BF19" s="1011"/>
      <c r="BG19" s="1011"/>
      <c r="BH19" s="1012"/>
      <c r="BI19" s="1012"/>
      <c r="BJ19" s="1012"/>
      <c r="BK19" s="1069"/>
      <c r="BN19" s="185"/>
      <c r="BQ19" s="185"/>
      <c r="BS19" s="368"/>
      <c r="BT19" s="368"/>
      <c r="BU19" s="368"/>
      <c r="CB19" s="371"/>
      <c r="CD19" s="183"/>
    </row>
    <row r="20" spans="1:82">
      <c r="A20" s="1038" t="s">
        <v>1402</v>
      </c>
      <c r="B20" s="1039" t="s">
        <v>1403</v>
      </c>
      <c r="C20" s="1040">
        <v>315</v>
      </c>
      <c r="D20" s="1041">
        <v>1000</v>
      </c>
      <c r="E20" s="1104">
        <v>18</v>
      </c>
      <c r="F20" s="1105">
        <f t="shared" si="5"/>
        <v>-297</v>
      </c>
      <c r="G20" s="1105">
        <v>1000</v>
      </c>
      <c r="H20" s="1106">
        <v>1000</v>
      </c>
      <c r="I20" s="1105">
        <f t="shared" si="0"/>
        <v>0</v>
      </c>
      <c r="J20" s="1071">
        <v>0</v>
      </c>
      <c r="K20" s="1107">
        <v>1000</v>
      </c>
      <c r="L20" s="1108">
        <v>1050.6000000000001</v>
      </c>
      <c r="M20" s="1048">
        <f t="shared" si="6"/>
        <v>1103.1300000000001</v>
      </c>
      <c r="N20" s="1049">
        <v>1000</v>
      </c>
      <c r="O20" s="1050">
        <f t="shared" si="7"/>
        <v>1050</v>
      </c>
      <c r="P20" s="1050" t="e">
        <f>'[3]Výsledovka 2020 1111'!#REF!</f>
        <v>#REF!</v>
      </c>
      <c r="Q20" s="1050" t="e">
        <f t="shared" si="8"/>
        <v>#REF!</v>
      </c>
      <c r="R20" s="1051" t="e">
        <f>P20/O20</f>
        <v>#REF!</v>
      </c>
      <c r="S20" s="1050">
        <f t="shared" si="9"/>
        <v>1050</v>
      </c>
      <c r="T20" s="1012"/>
      <c r="U20" s="1012"/>
      <c r="V20" s="1052"/>
      <c r="W20" s="452">
        <f>'[4]1111-střednědobý výhled'!Y19</f>
        <v>0</v>
      </c>
      <c r="X20" s="453"/>
      <c r="Y20" s="1053">
        <f t="shared" si="10"/>
        <v>0</v>
      </c>
      <c r="Z20" s="1053">
        <v>0</v>
      </c>
      <c r="AA20" s="452">
        <f t="shared" si="22"/>
        <v>0</v>
      </c>
      <c r="AB20" s="1053">
        <f t="shared" si="2"/>
        <v>0</v>
      </c>
      <c r="AC20" s="454"/>
      <c r="AD20" s="1054">
        <v>0</v>
      </c>
      <c r="AE20" s="1109">
        <v>0</v>
      </c>
      <c r="AF20" s="456">
        <f t="shared" si="11"/>
        <v>0</v>
      </c>
      <c r="AG20" s="1101">
        <f>'[4]1111-střednědobý výhled'!AA19</f>
        <v>500</v>
      </c>
      <c r="AH20" s="1056">
        <v>0</v>
      </c>
      <c r="AI20" s="1057">
        <f t="shared" si="12"/>
        <v>0</v>
      </c>
      <c r="AJ20" s="1058"/>
      <c r="AK20" s="1059">
        <v>0</v>
      </c>
      <c r="AL20" s="1012">
        <v>0</v>
      </c>
      <c r="AM20" s="1060"/>
      <c r="AN20" s="1012">
        <f t="shared" si="14"/>
        <v>0</v>
      </c>
      <c r="AO20" s="1061">
        <f t="shared" si="19"/>
        <v>0</v>
      </c>
      <c r="AP20" s="1012"/>
      <c r="AQ20" s="1012">
        <f t="shared" si="15"/>
        <v>0</v>
      </c>
      <c r="AR20" s="1062">
        <f t="shared" si="20"/>
        <v>0</v>
      </c>
      <c r="AS20" s="1063">
        <f t="shared" si="21"/>
        <v>0</v>
      </c>
      <c r="AT20" s="1064"/>
      <c r="AU20" s="1065"/>
      <c r="AV20" s="1066">
        <v>0</v>
      </c>
      <c r="AW20" s="1067"/>
      <c r="AX20" s="1068"/>
      <c r="AY20" s="1067"/>
      <c r="AZ20" s="185"/>
      <c r="BA20" s="185"/>
      <c r="BE20" s="368"/>
      <c r="BF20" s="1011"/>
      <c r="BG20" s="1011"/>
      <c r="BH20" s="1012"/>
      <c r="BI20" s="1012"/>
      <c r="BJ20" s="1012"/>
      <c r="BK20" s="1069"/>
      <c r="BN20" s="185"/>
      <c r="BQ20" s="185"/>
      <c r="BS20" s="368"/>
      <c r="BT20" s="368"/>
      <c r="BU20" s="368"/>
      <c r="CB20" s="371"/>
      <c r="CD20" s="183"/>
    </row>
    <row r="21" spans="1:82">
      <c r="A21" s="1038" t="s">
        <v>1404</v>
      </c>
      <c r="B21" s="1039" t="s">
        <v>1405</v>
      </c>
      <c r="C21" s="1040">
        <v>11282.12</v>
      </c>
      <c r="D21" s="1041">
        <v>20000</v>
      </c>
      <c r="E21" s="1104">
        <v>39726.870000000003</v>
      </c>
      <c r="F21" s="1105">
        <f t="shared" si="5"/>
        <v>28444.75</v>
      </c>
      <c r="G21" s="1105">
        <v>20000</v>
      </c>
      <c r="H21" s="1106">
        <v>20000</v>
      </c>
      <c r="I21" s="1105">
        <f t="shared" si="0"/>
        <v>0</v>
      </c>
      <c r="J21" s="1071">
        <v>10346</v>
      </c>
      <c r="K21" s="1107">
        <v>20000</v>
      </c>
      <c r="L21" s="1108">
        <v>21012</v>
      </c>
      <c r="M21" s="1048">
        <f t="shared" si="6"/>
        <v>22062.600000000002</v>
      </c>
      <c r="N21" s="1049">
        <v>25000</v>
      </c>
      <c r="O21" s="1050">
        <f t="shared" si="7"/>
        <v>26250</v>
      </c>
      <c r="P21" s="1050" t="e">
        <f>'[3]Výsledovka 2020 1111'!#REF!</f>
        <v>#REF!</v>
      </c>
      <c r="Q21" s="1050" t="e">
        <f t="shared" si="8"/>
        <v>#REF!</v>
      </c>
      <c r="R21" s="1051" t="e">
        <f>P21/O21</f>
        <v>#REF!</v>
      </c>
      <c r="S21" s="1050">
        <f t="shared" si="9"/>
        <v>26250</v>
      </c>
      <c r="T21" s="1012"/>
      <c r="U21" s="1012"/>
      <c r="V21" s="1052"/>
      <c r="W21" s="452">
        <f>'[4]1111-střednědobý výhled'!Y20</f>
        <v>15939.546</v>
      </c>
      <c r="X21" s="453"/>
      <c r="Y21" s="1053">
        <f t="shared" si="10"/>
        <v>0</v>
      </c>
      <c r="Z21" s="1053">
        <f>[5]List1!$J$40</f>
        <v>76381.25</v>
      </c>
      <c r="AA21" s="452">
        <f t="shared" si="22"/>
        <v>76381.25</v>
      </c>
      <c r="AB21" s="1053">
        <f t="shared" si="2"/>
        <v>76381.25</v>
      </c>
      <c r="AC21" s="454"/>
      <c r="AD21" s="1054">
        <v>0</v>
      </c>
      <c r="AE21" s="455">
        <v>426887.73</v>
      </c>
      <c r="AF21" s="456">
        <f t="shared" si="11"/>
        <v>426887.73</v>
      </c>
      <c r="AG21" s="1101">
        <f>'[4]1111-střednědobý výhled'!AA20</f>
        <v>15939.546</v>
      </c>
      <c r="AH21" s="1056">
        <v>500000</v>
      </c>
      <c r="AI21" s="1057">
        <f t="shared" si="12"/>
        <v>73112.270000000019</v>
      </c>
      <c r="AJ21" s="1058">
        <v>148154</v>
      </c>
      <c r="AK21" s="1059">
        <v>400000</v>
      </c>
      <c r="AL21" s="1012">
        <f>200000</f>
        <v>200000</v>
      </c>
      <c r="AM21" s="1060">
        <f t="shared" si="13"/>
        <v>-0.70369199999999998</v>
      </c>
      <c r="AN21" s="1012">
        <f t="shared" si="14"/>
        <v>-351846</v>
      </c>
      <c r="AO21" s="1061">
        <f>AJ21*1.05</f>
        <v>155561.70000000001</v>
      </c>
      <c r="AP21" s="1012">
        <v>408464.85</v>
      </c>
      <c r="AQ21" s="1012">
        <f t="shared" si="15"/>
        <v>252903.14999999997</v>
      </c>
      <c r="AR21" s="1062">
        <f>AO21*1.02</f>
        <v>158672.93400000001</v>
      </c>
      <c r="AS21" s="1063">
        <f t="shared" si="21"/>
        <v>161846.39268000002</v>
      </c>
      <c r="AT21" s="1064">
        <v>200000</v>
      </c>
      <c r="AU21" s="1065">
        <v>322826.78999999998</v>
      </c>
      <c r="AV21" s="1066">
        <v>200000</v>
      </c>
      <c r="AW21" s="1067">
        <f>AT21*0.75</f>
        <v>150000</v>
      </c>
      <c r="AX21" s="1068">
        <v>200000</v>
      </c>
      <c r="AY21" s="1067">
        <v>200000</v>
      </c>
      <c r="AZ21" s="185"/>
      <c r="BA21" s="185"/>
      <c r="BE21" s="368"/>
      <c r="BF21" s="1011"/>
      <c r="BG21" s="1011"/>
      <c r="BH21" s="1012"/>
      <c r="BI21" s="1012"/>
      <c r="BJ21" s="1012"/>
      <c r="BK21" s="1069"/>
      <c r="BN21" s="185"/>
      <c r="BQ21" s="185"/>
      <c r="BS21" s="368"/>
      <c r="BT21" s="368"/>
      <c r="BU21" s="368"/>
      <c r="CB21" s="371"/>
      <c r="CD21" s="183"/>
    </row>
    <row r="22" spans="1:82">
      <c r="A22" s="1110">
        <v>548</v>
      </c>
      <c r="B22" s="1039" t="s">
        <v>1406</v>
      </c>
      <c r="C22" s="1111">
        <v>0</v>
      </c>
      <c r="D22" s="1041">
        <v>0</v>
      </c>
      <c r="E22" s="1104">
        <v>0</v>
      </c>
      <c r="F22" s="1105">
        <f t="shared" si="5"/>
        <v>0</v>
      </c>
      <c r="G22" s="1105">
        <v>0</v>
      </c>
      <c r="H22" s="1106">
        <v>0</v>
      </c>
      <c r="I22" s="1105">
        <f t="shared" si="0"/>
        <v>0</v>
      </c>
      <c r="J22" s="1071">
        <v>0</v>
      </c>
      <c r="K22" s="1107">
        <v>0</v>
      </c>
      <c r="L22" s="1108">
        <v>0</v>
      </c>
      <c r="M22" s="1048">
        <f t="shared" si="6"/>
        <v>0</v>
      </c>
      <c r="N22" s="1049">
        <v>0</v>
      </c>
      <c r="O22" s="1050">
        <f t="shared" si="7"/>
        <v>0</v>
      </c>
      <c r="P22" s="1050">
        <v>0</v>
      </c>
      <c r="Q22" s="1050">
        <f t="shared" si="8"/>
        <v>0</v>
      </c>
      <c r="R22" s="1051"/>
      <c r="S22" s="1050">
        <f t="shared" si="9"/>
        <v>0</v>
      </c>
      <c r="T22" s="1012"/>
      <c r="U22" s="1012"/>
      <c r="V22" s="1052"/>
      <c r="W22" s="452">
        <f>'[4]1111-střednědobý výhled'!Y21</f>
        <v>0</v>
      </c>
      <c r="X22" s="453"/>
      <c r="Y22" s="1053">
        <f t="shared" si="10"/>
        <v>0</v>
      </c>
      <c r="Z22" s="1053">
        <v>0</v>
      </c>
      <c r="AA22" s="452">
        <f t="shared" si="22"/>
        <v>0</v>
      </c>
      <c r="AB22" s="1053">
        <f t="shared" si="2"/>
        <v>0</v>
      </c>
      <c r="AC22" s="454"/>
      <c r="AD22" s="1054">
        <v>0</v>
      </c>
      <c r="AE22" s="1109">
        <v>0</v>
      </c>
      <c r="AF22" s="456">
        <f t="shared" si="11"/>
        <v>0</v>
      </c>
      <c r="AG22" s="1101">
        <f>'[4]1111-střednědobý výhled'!AA21</f>
        <v>0</v>
      </c>
      <c r="AH22" s="1056">
        <v>0</v>
      </c>
      <c r="AI22" s="1057">
        <f t="shared" si="12"/>
        <v>0</v>
      </c>
      <c r="AJ22" s="1058">
        <v>5730.98</v>
      </c>
      <c r="AK22" s="1059">
        <v>0</v>
      </c>
      <c r="AL22" s="1012">
        <v>0</v>
      </c>
      <c r="AM22" s="1060"/>
      <c r="AN22" s="1012">
        <f t="shared" si="14"/>
        <v>5730.98</v>
      </c>
      <c r="AO22" s="1061">
        <v>10000</v>
      </c>
      <c r="AP22" s="1112">
        <v>0</v>
      </c>
      <c r="AQ22" s="1012">
        <f t="shared" si="15"/>
        <v>-10000</v>
      </c>
      <c r="AR22" s="1062">
        <f>AO22*1.02</f>
        <v>10200</v>
      </c>
      <c r="AS22" s="1063">
        <f t="shared" si="21"/>
        <v>10404</v>
      </c>
      <c r="AT22" s="1064">
        <v>50000</v>
      </c>
      <c r="AU22" s="1065">
        <v>2144.75</v>
      </c>
      <c r="AV22" s="1066">
        <v>10000</v>
      </c>
      <c r="AW22" s="1067">
        <f>AT22</f>
        <v>50000</v>
      </c>
      <c r="AX22" s="1068">
        <v>10000</v>
      </c>
      <c r="AY22" s="1067">
        <v>10000</v>
      </c>
      <c r="AZ22" s="185"/>
      <c r="BA22" s="185"/>
      <c r="BE22" s="368"/>
      <c r="BF22" s="1011"/>
      <c r="BG22" s="1011"/>
      <c r="BH22" s="1012"/>
      <c r="BI22" s="1012"/>
      <c r="BJ22" s="1012"/>
      <c r="BK22" s="1069"/>
      <c r="BN22" s="185"/>
      <c r="BQ22" s="185"/>
      <c r="BS22" s="368"/>
      <c r="BT22" s="368"/>
      <c r="BU22" s="368"/>
      <c r="CB22" s="371"/>
      <c r="CD22" s="183"/>
    </row>
    <row r="23" spans="1:82">
      <c r="A23" s="1038" t="s">
        <v>1407</v>
      </c>
      <c r="B23" s="1039" t="s">
        <v>1408</v>
      </c>
      <c r="C23" s="1040">
        <v>622742.35</v>
      </c>
      <c r="D23" s="1041">
        <v>850000</v>
      </c>
      <c r="E23" s="1104">
        <v>-530253.82999999996</v>
      </c>
      <c r="F23" s="1105">
        <f t="shared" si="5"/>
        <v>-1152996.18</v>
      </c>
      <c r="G23" s="1105">
        <v>850000</v>
      </c>
      <c r="H23" s="1106">
        <v>150000</v>
      </c>
      <c r="I23" s="1105">
        <f t="shared" si="0"/>
        <v>-700000</v>
      </c>
      <c r="J23" s="1071">
        <v>1060308</v>
      </c>
      <c r="K23" s="1107">
        <v>250000</v>
      </c>
      <c r="L23" s="1108">
        <v>2750000</v>
      </c>
      <c r="M23" s="1048">
        <f t="shared" si="6"/>
        <v>2887500</v>
      </c>
      <c r="N23" s="1049">
        <v>1000000</v>
      </c>
      <c r="O23" s="1050">
        <f t="shared" si="7"/>
        <v>1050000</v>
      </c>
      <c r="P23" s="1050" t="e">
        <f>'[3]Výsledovka 2020 1111'!#REF!</f>
        <v>#REF!</v>
      </c>
      <c r="Q23" s="1050" t="e">
        <f t="shared" si="8"/>
        <v>#REF!</v>
      </c>
      <c r="R23" s="1051" t="e">
        <f>P23/O23</f>
        <v>#REF!</v>
      </c>
      <c r="S23" s="1050">
        <f t="shared" si="9"/>
        <v>1050000</v>
      </c>
      <c r="T23" s="1113">
        <v>23845338</v>
      </c>
      <c r="U23" s="1012"/>
      <c r="V23" s="1052"/>
      <c r="W23" s="452">
        <f>'[4]1111-střednědobý výhled'!Y22</f>
        <v>4500000</v>
      </c>
      <c r="X23" s="453">
        <v>1.59</v>
      </c>
      <c r="Y23" s="1053">
        <f>W23*X23+913304</f>
        <v>8068304</v>
      </c>
      <c r="Z23" s="1053">
        <f>[5]List1!$J$42</f>
        <v>0</v>
      </c>
      <c r="AA23" s="452">
        <f t="shared" si="22"/>
        <v>-23845338</v>
      </c>
      <c r="AB23" s="1053">
        <f t="shared" si="2"/>
        <v>-8068304</v>
      </c>
      <c r="AC23" s="454">
        <f>Z23/Y23</f>
        <v>0</v>
      </c>
      <c r="AD23" s="1054">
        <f>Z23-6000000+[7]FONDY!R19-344953</f>
        <v>-1944952.9999999925</v>
      </c>
      <c r="AE23" s="455">
        <v>23140979</v>
      </c>
      <c r="AF23" s="456">
        <f t="shared" si="11"/>
        <v>25085931.999999993</v>
      </c>
      <c r="AG23" s="1055">
        <f>AD23*0.95</f>
        <v>-1847705.3499999929</v>
      </c>
      <c r="AH23" s="1053">
        <f>AE23*1.05</f>
        <v>24298027.949999999</v>
      </c>
      <c r="AI23" s="1057">
        <f t="shared" si="12"/>
        <v>1157048.9499999993</v>
      </c>
      <c r="AJ23" s="1058">
        <v>29019471.16</v>
      </c>
      <c r="AK23" s="1114">
        <f>AH23*AK3</f>
        <v>24905478.648749996</v>
      </c>
      <c r="AL23" s="1013">
        <f>AK23*AL3</f>
        <v>25403588.221724994</v>
      </c>
      <c r="AM23" s="1060">
        <f t="shared" si="13"/>
        <v>0.19431384389365644</v>
      </c>
      <c r="AN23" s="1012">
        <f t="shared" si="14"/>
        <v>4721443.2100000009</v>
      </c>
      <c r="AO23" s="1092">
        <f>29100000-1000000</f>
        <v>28100000</v>
      </c>
      <c r="AP23" s="186">
        <v>29136525.120000001</v>
      </c>
      <c r="AQ23" s="1012">
        <f t="shared" si="15"/>
        <v>1036525.120000001</v>
      </c>
      <c r="AR23" s="1094">
        <f>AO23*1.02</f>
        <v>28662000</v>
      </c>
      <c r="AS23" s="1095">
        <f>AR23*1.02</f>
        <v>29235240</v>
      </c>
      <c r="AT23" s="1096">
        <v>33000000</v>
      </c>
      <c r="AU23" s="1097">
        <v>28124344.289999999</v>
      </c>
      <c r="AV23" s="1098">
        <f>AU23*1.022</f>
        <v>28743079.864379998</v>
      </c>
      <c r="AW23" s="1099">
        <f>AU23*1.022</f>
        <v>28743079.864379998</v>
      </c>
      <c r="AX23" s="1100">
        <f>AV23*1.02</f>
        <v>29317941.461667597</v>
      </c>
      <c r="AY23" s="1067">
        <f>AX23*1.022</f>
        <v>29962936.173824284</v>
      </c>
      <c r="AZ23" s="185"/>
      <c r="BA23" s="185"/>
      <c r="BE23" s="368"/>
      <c r="BF23" s="1011"/>
      <c r="BG23" s="1011"/>
      <c r="BH23" s="1012"/>
      <c r="BI23" s="1012"/>
      <c r="BJ23" s="1012"/>
      <c r="BK23" s="1069"/>
      <c r="BN23" s="185"/>
      <c r="BQ23" s="185"/>
      <c r="BS23" s="368"/>
      <c r="BT23" s="368"/>
      <c r="BU23" s="368"/>
      <c r="CB23" s="371"/>
      <c r="CD23" s="183"/>
    </row>
    <row r="24" spans="1:82">
      <c r="A24" s="1038">
        <v>551</v>
      </c>
      <c r="B24" s="1039" t="s">
        <v>1409</v>
      </c>
      <c r="C24" s="1040">
        <v>2188578</v>
      </c>
      <c r="D24" s="1041">
        <v>2200000</v>
      </c>
      <c r="E24" s="1104">
        <v>6364099.1100000003</v>
      </c>
      <c r="F24" s="1105">
        <f t="shared" si="5"/>
        <v>4175521.1100000003</v>
      </c>
      <c r="G24" s="1105">
        <v>2200000</v>
      </c>
      <c r="H24" s="1106">
        <v>2200000</v>
      </c>
      <c r="I24" s="1105">
        <f t="shared" si="0"/>
        <v>0</v>
      </c>
      <c r="J24" s="1071">
        <v>2395317</v>
      </c>
      <c r="K24" s="1107">
        <v>2450000</v>
      </c>
      <c r="L24" s="1108">
        <v>3910666.666666667</v>
      </c>
      <c r="M24" s="1048">
        <f t="shared" si="6"/>
        <v>4106200.0000000005</v>
      </c>
      <c r="N24" s="1049">
        <v>2300000</v>
      </c>
      <c r="O24" s="1050">
        <f t="shared" si="7"/>
        <v>2415000</v>
      </c>
      <c r="P24" s="1050" t="e">
        <f>'[3]Výsledovka 2020 1111'!#REF!</f>
        <v>#REF!</v>
      </c>
      <c r="Q24" s="1050" t="e">
        <f t="shared" si="8"/>
        <v>#REF!</v>
      </c>
      <c r="R24" s="1051" t="e">
        <f>P24/O24</f>
        <v>#REF!</v>
      </c>
      <c r="S24" s="1050">
        <f t="shared" si="9"/>
        <v>2415000</v>
      </c>
      <c r="T24" s="1012">
        <v>2776799</v>
      </c>
      <c r="U24" s="1012"/>
      <c r="V24" s="1052"/>
      <c r="W24" s="452">
        <f>'[4]1111-střednědobý výhled'!Y23</f>
        <v>4000000</v>
      </c>
      <c r="X24" s="453">
        <v>1</v>
      </c>
      <c r="Y24" s="1053">
        <f t="shared" si="10"/>
        <v>4000000</v>
      </c>
      <c r="Z24" s="1053">
        <f>[5]List1!$J$44</f>
        <v>0</v>
      </c>
      <c r="AA24" s="452">
        <f t="shared" si="22"/>
        <v>-2776799</v>
      </c>
      <c r="AB24" s="1053">
        <f t="shared" si="2"/>
        <v>-4000000</v>
      </c>
      <c r="AC24" s="454">
        <f>Z24/Y24</f>
        <v>0</v>
      </c>
      <c r="AD24" s="1054">
        <v>3500000</v>
      </c>
      <c r="AE24" s="1109">
        <v>13095069</v>
      </c>
      <c r="AF24" s="456">
        <f t="shared" si="11"/>
        <v>9595069</v>
      </c>
      <c r="AG24" s="1101">
        <v>3800000</v>
      </c>
      <c r="AH24" s="1056">
        <f>AE24</f>
        <v>13095069</v>
      </c>
      <c r="AI24" s="1057">
        <f t="shared" si="12"/>
        <v>0</v>
      </c>
      <c r="AJ24" s="1058">
        <v>13326666.449999999</v>
      </c>
      <c r="AK24" s="1059">
        <f>AH24</f>
        <v>13095069</v>
      </c>
      <c r="AL24" s="1012">
        <f>AK24</f>
        <v>13095069</v>
      </c>
      <c r="AM24" s="1060">
        <f t="shared" si="13"/>
        <v>1.7685851827126627E-2</v>
      </c>
      <c r="AN24" s="1012">
        <f t="shared" si="14"/>
        <v>231597.44999999925</v>
      </c>
      <c r="AO24" s="1061">
        <f t="shared" si="19"/>
        <v>14659333.095000001</v>
      </c>
      <c r="AP24" s="1115">
        <v>14402734.26</v>
      </c>
      <c r="AQ24" s="1012">
        <f t="shared" si="15"/>
        <v>-256598.83500000089</v>
      </c>
      <c r="AR24" s="1062">
        <f>AO24*1.02</f>
        <v>14952519.756900001</v>
      </c>
      <c r="AS24" s="1063">
        <f t="shared" ref="AS24:AS30" si="23">AR24*1.02</f>
        <v>15251570.152038002</v>
      </c>
      <c r="AT24" s="1096">
        <f>'[6]FRIM vlastní 2025'!B4+[6]SDV!AT38-500000</f>
        <v>15253000</v>
      </c>
      <c r="AU24" s="1097">
        <v>15074691.789999999</v>
      </c>
      <c r="AV24" s="1098">
        <f t="shared" ref="AV24:AV29" si="24">AU24*1.022</f>
        <v>15406335.00938</v>
      </c>
      <c r="AW24" s="1099">
        <f t="shared" ref="AW24:AW30" si="25">AT24*1.022</f>
        <v>15588566</v>
      </c>
      <c r="AX24" s="1068">
        <f>AW24*1.02</f>
        <v>15900337.32</v>
      </c>
      <c r="AY24" s="1067">
        <f>AX24*1.02</f>
        <v>16218344.066400001</v>
      </c>
      <c r="AZ24" s="185"/>
      <c r="BA24" s="185"/>
      <c r="BE24" s="368"/>
      <c r="BF24" s="1011"/>
      <c r="BG24" s="1011"/>
      <c r="BH24" s="1012"/>
      <c r="BI24" s="1012"/>
      <c r="BJ24" s="1012"/>
      <c r="BK24" s="1069"/>
      <c r="BN24" s="185"/>
      <c r="BQ24" s="185"/>
      <c r="BS24" s="368"/>
      <c r="BT24" s="368"/>
      <c r="BU24" s="368"/>
      <c r="CB24" s="371"/>
      <c r="CD24" s="183"/>
    </row>
    <row r="25" spans="1:82">
      <c r="A25" s="1110">
        <v>552</v>
      </c>
      <c r="B25" s="1116" t="s">
        <v>1410</v>
      </c>
      <c r="C25" s="1111">
        <v>0</v>
      </c>
      <c r="D25" s="1041">
        <v>0</v>
      </c>
      <c r="E25" s="1104">
        <v>0</v>
      </c>
      <c r="F25" s="1105">
        <f t="shared" si="5"/>
        <v>0</v>
      </c>
      <c r="G25" s="1105">
        <v>0</v>
      </c>
      <c r="H25" s="1106">
        <v>0</v>
      </c>
      <c r="I25" s="1105">
        <f t="shared" si="0"/>
        <v>0</v>
      </c>
      <c r="J25" s="1071">
        <v>0</v>
      </c>
      <c r="K25" s="1107">
        <v>0</v>
      </c>
      <c r="L25" s="1108">
        <v>0</v>
      </c>
      <c r="M25" s="1048">
        <f t="shared" si="6"/>
        <v>0</v>
      </c>
      <c r="N25" s="1049">
        <v>0</v>
      </c>
      <c r="O25" s="1050">
        <f t="shared" si="7"/>
        <v>0</v>
      </c>
      <c r="P25" s="1050" t="e">
        <f>'[3]Výsledovka 2020 1111'!#REF!</f>
        <v>#REF!</v>
      </c>
      <c r="Q25" s="1050" t="e">
        <f t="shared" si="8"/>
        <v>#REF!</v>
      </c>
      <c r="R25" s="1051"/>
      <c r="S25" s="1050">
        <f t="shared" si="9"/>
        <v>0</v>
      </c>
      <c r="T25" s="1012"/>
      <c r="U25" s="1012"/>
      <c r="V25" s="1052"/>
      <c r="W25" s="452">
        <f>'[4]1111-střednědobý výhled'!Y24</f>
        <v>0</v>
      </c>
      <c r="X25" s="453"/>
      <c r="Y25" s="1053">
        <f t="shared" si="10"/>
        <v>0</v>
      </c>
      <c r="Z25" s="1053">
        <f>[5]List1!$J$46</f>
        <v>0</v>
      </c>
      <c r="AA25" s="452">
        <f t="shared" si="22"/>
        <v>0</v>
      </c>
      <c r="AB25" s="1053">
        <f t="shared" si="2"/>
        <v>0</v>
      </c>
      <c r="AC25" s="454"/>
      <c r="AD25" s="1054">
        <v>0</v>
      </c>
      <c r="AE25" s="1109">
        <v>0</v>
      </c>
      <c r="AF25" s="456">
        <f t="shared" si="11"/>
        <v>0</v>
      </c>
      <c r="AG25" s="1101">
        <v>0</v>
      </c>
      <c r="AH25" s="1056">
        <v>0</v>
      </c>
      <c r="AI25" s="1057">
        <f t="shared" si="12"/>
        <v>0</v>
      </c>
      <c r="AJ25" s="1058">
        <v>16955.16</v>
      </c>
      <c r="AK25" s="1059">
        <v>0</v>
      </c>
      <c r="AL25" s="1012">
        <v>0</v>
      </c>
      <c r="AM25" s="1060"/>
      <c r="AN25" s="1012">
        <f t="shared" si="14"/>
        <v>16955.16</v>
      </c>
      <c r="AO25" s="1061">
        <f t="shared" si="19"/>
        <v>18650.676000000003</v>
      </c>
      <c r="AP25" s="1117">
        <v>64855.5</v>
      </c>
      <c r="AQ25" s="1012">
        <f t="shared" si="15"/>
        <v>46204.823999999993</v>
      </c>
      <c r="AR25" s="1062">
        <f>AO25*1.02</f>
        <v>19023.689520000004</v>
      </c>
      <c r="AS25" s="1063">
        <f t="shared" si="23"/>
        <v>19404.163310400003</v>
      </c>
      <c r="AT25" s="1096">
        <v>75000</v>
      </c>
      <c r="AU25" s="1097">
        <v>76128.3</v>
      </c>
      <c r="AV25" s="1098">
        <f t="shared" si="24"/>
        <v>77803.122600000002</v>
      </c>
      <c r="AW25" s="1099">
        <f t="shared" si="25"/>
        <v>76650</v>
      </c>
      <c r="AX25" s="1068">
        <f>AW25*1.02</f>
        <v>78183</v>
      </c>
      <c r="AY25" s="1067">
        <f>AX25*1.02</f>
        <v>79746.66</v>
      </c>
      <c r="AZ25" s="185"/>
      <c r="BA25" s="185"/>
      <c r="BE25" s="368"/>
      <c r="BF25" s="1011"/>
      <c r="BG25" s="1011"/>
      <c r="BH25" s="1012"/>
      <c r="BI25" s="1012"/>
      <c r="BJ25" s="1012"/>
      <c r="BK25" s="1069"/>
      <c r="BN25" s="185"/>
      <c r="BQ25" s="185"/>
      <c r="BS25" s="368"/>
      <c r="BT25" s="368"/>
      <c r="BU25" s="368"/>
      <c r="CB25" s="371"/>
      <c r="CD25" s="183"/>
    </row>
    <row r="26" spans="1:82">
      <c r="A26" s="1110">
        <v>554</v>
      </c>
      <c r="B26" s="1116" t="s">
        <v>1411</v>
      </c>
      <c r="C26" s="1111">
        <v>0</v>
      </c>
      <c r="D26" s="1041">
        <v>0</v>
      </c>
      <c r="E26" s="1104">
        <v>0</v>
      </c>
      <c r="F26" s="1105">
        <f t="shared" si="5"/>
        <v>0</v>
      </c>
      <c r="G26" s="1105"/>
      <c r="H26" s="1106">
        <v>0</v>
      </c>
      <c r="I26" s="1105">
        <f t="shared" si="0"/>
        <v>0</v>
      </c>
      <c r="J26" s="1071">
        <v>0</v>
      </c>
      <c r="K26" s="1107">
        <v>0</v>
      </c>
      <c r="L26" s="1108">
        <v>0</v>
      </c>
      <c r="M26" s="1048">
        <f t="shared" si="6"/>
        <v>0</v>
      </c>
      <c r="N26" s="1049">
        <v>0</v>
      </c>
      <c r="O26" s="1050">
        <f t="shared" si="7"/>
        <v>0</v>
      </c>
      <c r="P26" s="1050">
        <v>0</v>
      </c>
      <c r="Q26" s="1050">
        <f t="shared" si="8"/>
        <v>0</v>
      </c>
      <c r="R26" s="1051"/>
      <c r="S26" s="1050">
        <f t="shared" si="9"/>
        <v>0</v>
      </c>
      <c r="T26" s="1012"/>
      <c r="U26" s="1012"/>
      <c r="V26" s="1052"/>
      <c r="W26" s="452">
        <f>'[4]1111-střednědobý výhled'!Y25</f>
        <v>0</v>
      </c>
      <c r="X26" s="453"/>
      <c r="Y26" s="1053">
        <f t="shared" si="10"/>
        <v>0</v>
      </c>
      <c r="Z26" s="1053">
        <v>0</v>
      </c>
      <c r="AA26" s="452">
        <f t="shared" si="22"/>
        <v>0</v>
      </c>
      <c r="AB26" s="1053">
        <f t="shared" si="2"/>
        <v>0</v>
      </c>
      <c r="AC26" s="454"/>
      <c r="AD26" s="1054">
        <v>0</v>
      </c>
      <c r="AE26" s="1109">
        <v>0</v>
      </c>
      <c r="AF26" s="456">
        <f t="shared" si="11"/>
        <v>0</v>
      </c>
      <c r="AG26" s="1101">
        <v>0</v>
      </c>
      <c r="AH26" s="1056">
        <v>0</v>
      </c>
      <c r="AI26" s="1057">
        <f t="shared" si="12"/>
        <v>0</v>
      </c>
      <c r="AJ26" s="1058"/>
      <c r="AK26" s="1059">
        <v>0</v>
      </c>
      <c r="AL26" s="1012">
        <v>0</v>
      </c>
      <c r="AM26" s="1060"/>
      <c r="AN26" s="1012">
        <f t="shared" si="14"/>
        <v>0</v>
      </c>
      <c r="AO26" s="1061">
        <f t="shared" si="19"/>
        <v>0</v>
      </c>
      <c r="AP26" s="1117"/>
      <c r="AQ26" s="1012">
        <f t="shared" si="15"/>
        <v>0</v>
      </c>
      <c r="AR26" s="1062">
        <f t="shared" si="20"/>
        <v>0</v>
      </c>
      <c r="AS26" s="1063">
        <f t="shared" si="23"/>
        <v>0</v>
      </c>
      <c r="AT26" s="1096">
        <v>0</v>
      </c>
      <c r="AU26" s="1097"/>
      <c r="AV26" s="1098">
        <f t="shared" si="24"/>
        <v>0</v>
      </c>
      <c r="AW26" s="1099">
        <f t="shared" si="25"/>
        <v>0</v>
      </c>
      <c r="AX26" s="1068"/>
      <c r="AY26" s="1067"/>
      <c r="AZ26" s="185"/>
      <c r="BA26" s="185"/>
      <c r="BE26" s="368"/>
      <c r="BF26" s="1011"/>
      <c r="BG26" s="1011"/>
      <c r="BH26" s="1012"/>
      <c r="BI26" s="1012"/>
      <c r="BJ26" s="1012"/>
      <c r="BK26" s="1069"/>
      <c r="BN26" s="185"/>
      <c r="BQ26" s="185"/>
      <c r="BS26" s="368"/>
      <c r="BT26" s="368"/>
      <c r="BU26" s="368"/>
      <c r="CB26" s="371"/>
      <c r="CD26" s="183"/>
    </row>
    <row r="27" spans="1:82">
      <c r="A27" s="1038" t="s">
        <v>1412</v>
      </c>
      <c r="B27" s="1039" t="s">
        <v>1413</v>
      </c>
      <c r="C27" s="1040">
        <v>509300</v>
      </c>
      <c r="D27" s="1041">
        <v>509300</v>
      </c>
      <c r="E27" s="1104">
        <v>134300</v>
      </c>
      <c r="F27" s="1105">
        <f t="shared" si="5"/>
        <v>-375000</v>
      </c>
      <c r="G27" s="1105">
        <v>509300</v>
      </c>
      <c r="H27" s="1106">
        <v>135000</v>
      </c>
      <c r="I27" s="1105">
        <f t="shared" si="0"/>
        <v>-374300</v>
      </c>
      <c r="J27" s="1071">
        <v>151000</v>
      </c>
      <c r="K27" s="1107">
        <v>500000</v>
      </c>
      <c r="L27" s="1108">
        <v>500000</v>
      </c>
      <c r="M27" s="1048">
        <f t="shared" si="6"/>
        <v>525000</v>
      </c>
      <c r="N27" s="1049">
        <v>500000</v>
      </c>
      <c r="O27" s="1050">
        <f t="shared" si="7"/>
        <v>525000</v>
      </c>
      <c r="P27" s="1050" t="e">
        <f>'[3]Výsledovka 2020 1111'!#REF!</f>
        <v>#REF!</v>
      </c>
      <c r="Q27" s="1050" t="e">
        <f t="shared" si="8"/>
        <v>#REF!</v>
      </c>
      <c r="R27" s="1051" t="e">
        <f>P27/O27</f>
        <v>#REF!</v>
      </c>
      <c r="S27" s="1050">
        <f t="shared" si="9"/>
        <v>525000</v>
      </c>
      <c r="T27" s="1012">
        <v>40700</v>
      </c>
      <c r="U27" s="1012"/>
      <c r="V27" s="1052"/>
      <c r="W27" s="452">
        <f>'[4]1111-střednědobý výhled'!Y26</f>
        <v>0</v>
      </c>
      <c r="X27" s="453"/>
      <c r="Y27" s="1053">
        <f t="shared" si="10"/>
        <v>0</v>
      </c>
      <c r="Z27" s="1053">
        <f>[5]List1!$J$48</f>
        <v>0</v>
      </c>
      <c r="AA27" s="452">
        <f t="shared" si="22"/>
        <v>-40700</v>
      </c>
      <c r="AB27" s="1053">
        <f t="shared" si="2"/>
        <v>0</v>
      </c>
      <c r="AC27" s="454"/>
      <c r="AD27" s="1054">
        <f>Z27</f>
        <v>0</v>
      </c>
      <c r="AE27" s="1109">
        <v>628700</v>
      </c>
      <c r="AF27" s="456">
        <f t="shared" si="11"/>
        <v>628700</v>
      </c>
      <c r="AG27" s="1101">
        <f>AD27-166700</f>
        <v>-166700</v>
      </c>
      <c r="AH27" s="1056">
        <f>AG27</f>
        <v>-166700</v>
      </c>
      <c r="AI27" s="1057">
        <f t="shared" si="12"/>
        <v>-795400</v>
      </c>
      <c r="AJ27" s="1058">
        <v>1295500</v>
      </c>
      <c r="AK27" s="1059">
        <v>0</v>
      </c>
      <c r="AL27" s="1012">
        <v>0</v>
      </c>
      <c r="AM27" s="1060">
        <f t="shared" si="13"/>
        <v>-8.7714457108578276</v>
      </c>
      <c r="AN27" s="1012">
        <f t="shared" si="14"/>
        <v>1462200</v>
      </c>
      <c r="AO27" s="1061">
        <f>AJ27*1</f>
        <v>1295500</v>
      </c>
      <c r="AP27" s="1117"/>
      <c r="AQ27" s="1012">
        <f t="shared" si="15"/>
        <v>-1295500</v>
      </c>
      <c r="AR27" s="1062">
        <v>0</v>
      </c>
      <c r="AS27" s="1063">
        <f t="shared" si="23"/>
        <v>0</v>
      </c>
      <c r="AT27" s="1096">
        <v>0</v>
      </c>
      <c r="AU27" s="1097">
        <v>-5182000</v>
      </c>
      <c r="AV27" s="1098"/>
      <c r="AW27" s="1099">
        <f t="shared" si="25"/>
        <v>0</v>
      </c>
      <c r="AX27" s="1068"/>
      <c r="AY27" s="1067"/>
      <c r="AZ27" s="185"/>
      <c r="BA27" s="185"/>
      <c r="BE27" s="368"/>
      <c r="BF27" s="1011"/>
      <c r="BG27" s="1011"/>
      <c r="BH27" s="1012"/>
      <c r="BI27" s="1012"/>
      <c r="BJ27" s="1012"/>
      <c r="BK27" s="1069"/>
      <c r="BN27" s="185"/>
      <c r="BQ27" s="185"/>
      <c r="BS27" s="368"/>
      <c r="BT27" s="368"/>
      <c r="BU27" s="368"/>
      <c r="CB27" s="371"/>
      <c r="CD27" s="183"/>
    </row>
    <row r="28" spans="1:82">
      <c r="A28" s="1038">
        <v>559</v>
      </c>
      <c r="B28" s="1039" t="s">
        <v>1414</v>
      </c>
      <c r="C28" s="1040"/>
      <c r="D28" s="1041"/>
      <c r="E28" s="1104"/>
      <c r="F28" s="1105"/>
      <c r="G28" s="1105"/>
      <c r="H28" s="1106"/>
      <c r="I28" s="1105"/>
      <c r="J28" s="1071">
        <v>2536473</v>
      </c>
      <c r="K28" s="1107"/>
      <c r="L28" s="1108"/>
      <c r="M28" s="1048"/>
      <c r="N28" s="1049">
        <v>0</v>
      </c>
      <c r="O28" s="1050">
        <f t="shared" si="7"/>
        <v>0</v>
      </c>
      <c r="P28" s="1050">
        <v>0</v>
      </c>
      <c r="Q28" s="1050">
        <f t="shared" si="8"/>
        <v>0</v>
      </c>
      <c r="R28" s="1051"/>
      <c r="S28" s="1050">
        <f t="shared" si="9"/>
        <v>0</v>
      </c>
      <c r="T28" s="1012"/>
      <c r="U28" s="1012"/>
      <c r="V28" s="1052"/>
      <c r="W28" s="452">
        <f>'[4]1111-střednědobý výhled'!Y27</f>
        <v>0</v>
      </c>
      <c r="X28" s="453"/>
      <c r="Y28" s="1053">
        <f t="shared" si="10"/>
        <v>0</v>
      </c>
      <c r="Z28" s="1053">
        <v>0</v>
      </c>
      <c r="AA28" s="452">
        <f t="shared" si="22"/>
        <v>0</v>
      </c>
      <c r="AB28" s="1053">
        <f t="shared" si="2"/>
        <v>0</v>
      </c>
      <c r="AC28" s="454"/>
      <c r="AD28" s="1054">
        <v>0</v>
      </c>
      <c r="AE28" s="1109">
        <v>0</v>
      </c>
      <c r="AF28" s="456">
        <f t="shared" si="11"/>
        <v>0</v>
      </c>
      <c r="AG28" s="1101"/>
      <c r="AH28" s="1056"/>
      <c r="AI28" s="1057">
        <f t="shared" si="12"/>
        <v>0</v>
      </c>
      <c r="AJ28" s="1058"/>
      <c r="AK28" s="1059"/>
      <c r="AL28" s="1012"/>
      <c r="AM28" s="1060"/>
      <c r="AN28" s="1012">
        <f t="shared" si="14"/>
        <v>0</v>
      </c>
      <c r="AO28" s="1061">
        <f t="shared" si="19"/>
        <v>0</v>
      </c>
      <c r="AP28" s="1012"/>
      <c r="AQ28" s="1012">
        <f t="shared" si="15"/>
        <v>0</v>
      </c>
      <c r="AR28" s="1062">
        <f t="shared" si="20"/>
        <v>0</v>
      </c>
      <c r="AS28" s="1063">
        <f t="shared" si="23"/>
        <v>0</v>
      </c>
      <c r="AT28" s="1096">
        <v>0</v>
      </c>
      <c r="AU28" s="1097"/>
      <c r="AV28" s="1098">
        <f t="shared" si="24"/>
        <v>0</v>
      </c>
      <c r="AW28" s="1099">
        <f t="shared" si="25"/>
        <v>0</v>
      </c>
      <c r="AX28" s="1068"/>
      <c r="AY28" s="1067"/>
      <c r="AZ28" s="185"/>
      <c r="BA28" s="185"/>
      <c r="BE28" s="368"/>
      <c r="BF28" s="1011"/>
      <c r="BG28" s="1011"/>
      <c r="BH28" s="1012"/>
      <c r="BI28" s="1012"/>
      <c r="BJ28" s="1012"/>
      <c r="BK28" s="1069"/>
      <c r="BN28" s="185"/>
      <c r="BQ28" s="185"/>
      <c r="BS28" s="368"/>
      <c r="BT28" s="368"/>
      <c r="BU28" s="368"/>
      <c r="CB28" s="371"/>
      <c r="CD28" s="183"/>
    </row>
    <row r="29" spans="1:82">
      <c r="A29" s="1038" t="s">
        <v>1415</v>
      </c>
      <c r="B29" s="1039" t="s">
        <v>1416</v>
      </c>
      <c r="C29" s="1118">
        <v>-813580</v>
      </c>
      <c r="D29" s="1041">
        <v>813580</v>
      </c>
      <c r="E29" s="1104">
        <v>-53241.56</v>
      </c>
      <c r="F29" s="1105">
        <f t="shared" si="5"/>
        <v>760338.44</v>
      </c>
      <c r="G29" s="1105">
        <v>0</v>
      </c>
      <c r="H29" s="1106">
        <v>0</v>
      </c>
      <c r="I29" s="1105">
        <f>H29-G29</f>
        <v>0</v>
      </c>
      <c r="J29" s="1071">
        <v>0</v>
      </c>
      <c r="K29" s="1107">
        <v>0</v>
      </c>
      <c r="L29" s="1108">
        <v>0</v>
      </c>
      <c r="M29" s="1048">
        <f t="shared" si="6"/>
        <v>0</v>
      </c>
      <c r="N29" s="1049">
        <v>0</v>
      </c>
      <c r="O29" s="1050">
        <f t="shared" si="7"/>
        <v>0</v>
      </c>
      <c r="P29" s="1050">
        <v>0</v>
      </c>
      <c r="Q29" s="1050">
        <f t="shared" si="8"/>
        <v>0</v>
      </c>
      <c r="R29" s="1051"/>
      <c r="S29" s="1050">
        <f t="shared" si="9"/>
        <v>0</v>
      </c>
      <c r="T29" s="1012">
        <v>107509</v>
      </c>
      <c r="U29" s="1012"/>
      <c r="V29" s="1052"/>
      <c r="W29" s="452">
        <f>'[4]1111-střednědobý výhled'!Y28</f>
        <v>0</v>
      </c>
      <c r="X29" s="453"/>
      <c r="Y29" s="1053">
        <f t="shared" si="10"/>
        <v>0</v>
      </c>
      <c r="Z29" s="471">
        <f>[5]List1!$J$50+[5]List1!$J$52</f>
        <v>0</v>
      </c>
      <c r="AA29" s="452">
        <f t="shared" si="22"/>
        <v>-107509</v>
      </c>
      <c r="AB29" s="1053">
        <f t="shared" si="2"/>
        <v>0</v>
      </c>
      <c r="AC29" s="454"/>
      <c r="AD29" s="1054">
        <v>60000</v>
      </c>
      <c r="AE29" s="1109">
        <v>-158814</v>
      </c>
      <c r="AF29" s="456">
        <f t="shared" si="11"/>
        <v>-218814</v>
      </c>
      <c r="AG29" s="1101">
        <f>AD29</f>
        <v>60000</v>
      </c>
      <c r="AH29" s="1056">
        <f>AG29</f>
        <v>60000</v>
      </c>
      <c r="AI29" s="1057">
        <f t="shared" si="12"/>
        <v>218814</v>
      </c>
      <c r="AJ29" s="1058">
        <v>-341960.67</v>
      </c>
      <c r="AK29" s="1059">
        <f>AI29</f>
        <v>218814</v>
      </c>
      <c r="AL29" s="1012">
        <f>AK29</f>
        <v>218814</v>
      </c>
      <c r="AM29" s="1060">
        <f t="shared" si="13"/>
        <v>-6.6993444999999996</v>
      </c>
      <c r="AN29" s="1012">
        <f t="shared" si="14"/>
        <v>-401960.67</v>
      </c>
      <c r="AO29" s="1061">
        <f>AJ29</f>
        <v>-341960.67</v>
      </c>
      <c r="AP29" s="1012">
        <f>90320.59-18768.93</f>
        <v>71551.66</v>
      </c>
      <c r="AQ29" s="1012">
        <f t="shared" si="15"/>
        <v>413512.32999999996</v>
      </c>
      <c r="AR29" s="1062">
        <v>-340000</v>
      </c>
      <c r="AS29" s="1063">
        <f t="shared" si="23"/>
        <v>-346800</v>
      </c>
      <c r="AT29" s="1096">
        <v>75000</v>
      </c>
      <c r="AU29" s="1097">
        <v>100427.08</v>
      </c>
      <c r="AV29" s="1098">
        <f t="shared" si="24"/>
        <v>102636.47576</v>
      </c>
      <c r="AW29" s="1099">
        <f>AV29*1.02</f>
        <v>104689.2052752</v>
      </c>
      <c r="AX29" s="1068">
        <f>AW29*1.02</f>
        <v>106782.98938070401</v>
      </c>
      <c r="AY29" s="1067">
        <f>AX29*1.02</f>
        <v>108918.64916831809</v>
      </c>
      <c r="AZ29" s="185"/>
      <c r="BA29" s="185"/>
      <c r="BE29" s="368"/>
      <c r="BF29" s="1011"/>
      <c r="BG29" s="1011"/>
      <c r="BH29" s="1012"/>
      <c r="BI29" s="1012"/>
      <c r="BJ29" s="1012"/>
      <c r="BK29" s="1069"/>
      <c r="BN29" s="185"/>
      <c r="BQ29" s="185"/>
      <c r="BS29" s="368"/>
      <c r="BT29" s="368"/>
      <c r="BU29" s="368"/>
      <c r="CB29" s="371"/>
      <c r="CD29" s="183"/>
    </row>
    <row r="30" spans="1:82" ht="15" thickBot="1">
      <c r="A30" s="472">
        <v>591</v>
      </c>
      <c r="B30" s="473" t="s">
        <v>1417</v>
      </c>
      <c r="C30" s="474">
        <v>0</v>
      </c>
      <c r="D30" s="475">
        <v>0</v>
      </c>
      <c r="E30" s="476">
        <v>133784</v>
      </c>
      <c r="F30" s="477">
        <f t="shared" si="5"/>
        <v>133784</v>
      </c>
      <c r="G30" s="477">
        <v>0</v>
      </c>
      <c r="H30" s="478">
        <v>0</v>
      </c>
      <c r="I30" s="477">
        <f>H30-G30</f>
        <v>0</v>
      </c>
      <c r="J30" s="479">
        <v>0</v>
      </c>
      <c r="K30" s="480">
        <v>0</v>
      </c>
      <c r="L30" s="481">
        <v>0</v>
      </c>
      <c r="M30" s="482">
        <f t="shared" si="6"/>
        <v>0</v>
      </c>
      <c r="N30" s="483">
        <v>0</v>
      </c>
      <c r="O30" s="484">
        <f t="shared" si="7"/>
        <v>0</v>
      </c>
      <c r="P30" s="484">
        <v>0</v>
      </c>
      <c r="Q30" s="484">
        <f t="shared" si="8"/>
        <v>0</v>
      </c>
      <c r="R30" s="485"/>
      <c r="S30" s="484">
        <f t="shared" si="9"/>
        <v>0</v>
      </c>
      <c r="T30" s="486">
        <v>462260</v>
      </c>
      <c r="U30" s="486"/>
      <c r="V30" s="487"/>
      <c r="W30" s="488">
        <f>'[4]1111-střednědobý výhled'!Y29</f>
        <v>0</v>
      </c>
      <c r="X30" s="489"/>
      <c r="Y30" s="471">
        <f t="shared" si="10"/>
        <v>0</v>
      </c>
      <c r="Z30" s="186">
        <f>[5]List1!$J$54</f>
        <v>0</v>
      </c>
      <c r="AA30" s="488">
        <f t="shared" si="22"/>
        <v>-462260</v>
      </c>
      <c r="AB30" s="471">
        <f t="shared" si="2"/>
        <v>0</v>
      </c>
      <c r="AC30" s="490"/>
      <c r="AD30" s="491">
        <v>0</v>
      </c>
      <c r="AE30" s="492">
        <v>349350</v>
      </c>
      <c r="AF30" s="456">
        <f t="shared" si="11"/>
        <v>349350</v>
      </c>
      <c r="AG30" s="493"/>
      <c r="AH30" s="494">
        <v>0</v>
      </c>
      <c r="AI30" s="495">
        <f t="shared" si="12"/>
        <v>-349350</v>
      </c>
      <c r="AJ30" s="496">
        <v>592040</v>
      </c>
      <c r="AK30" s="497"/>
      <c r="AL30" s="486"/>
      <c r="AM30" s="498"/>
      <c r="AN30" s="486">
        <f t="shared" si="14"/>
        <v>592040</v>
      </c>
      <c r="AO30" s="1061">
        <v>400000</v>
      </c>
      <c r="AP30" s="1012">
        <v>119780</v>
      </c>
      <c r="AQ30" s="1012">
        <f t="shared" si="15"/>
        <v>-280220</v>
      </c>
      <c r="AR30" s="1062">
        <v>0</v>
      </c>
      <c r="AS30" s="1063">
        <f t="shared" si="23"/>
        <v>0</v>
      </c>
      <c r="AT30" s="1096">
        <v>41000</v>
      </c>
      <c r="AU30" s="1097">
        <v>1167600</v>
      </c>
      <c r="AV30" s="1098">
        <v>50000</v>
      </c>
      <c r="AW30" s="1099">
        <f t="shared" si="25"/>
        <v>41902</v>
      </c>
      <c r="AX30" s="1068">
        <v>100000</v>
      </c>
      <c r="AY30" s="1067">
        <v>100000</v>
      </c>
      <c r="AZ30" s="185"/>
      <c r="BA30" s="185"/>
      <c r="BE30" s="368"/>
      <c r="BF30" s="1011"/>
      <c r="BG30" s="1011"/>
      <c r="BH30" s="1012"/>
      <c r="BI30" s="1012"/>
      <c r="BJ30" s="1012"/>
      <c r="BK30" s="1069"/>
      <c r="BN30" s="185"/>
      <c r="BQ30" s="185"/>
      <c r="BS30" s="368"/>
      <c r="BT30" s="368"/>
      <c r="BU30" s="368"/>
      <c r="CB30" s="371"/>
      <c r="CD30" s="183"/>
    </row>
    <row r="31" spans="1:82" ht="15" thickBot="1">
      <c r="A31" s="499" t="s">
        <v>1418</v>
      </c>
      <c r="B31" s="500"/>
      <c r="C31" s="501">
        <f t="shared" ref="C31:H31" si="26">SUM(C5:C30)</f>
        <v>68336186.020000011</v>
      </c>
      <c r="D31" s="502">
        <f t="shared" si="26"/>
        <v>75428680</v>
      </c>
      <c r="E31" s="503">
        <f t="shared" si="26"/>
        <v>75874919.189999998</v>
      </c>
      <c r="F31" s="502">
        <f t="shared" si="26"/>
        <v>7538733.1699999999</v>
      </c>
      <c r="G31" s="502">
        <f t="shared" si="26"/>
        <v>74644900</v>
      </c>
      <c r="H31" s="504">
        <f t="shared" si="26"/>
        <v>80600280.307414234</v>
      </c>
      <c r="I31" s="505">
        <f>H31-G31</f>
        <v>5955380.3074142337</v>
      </c>
      <c r="J31" s="506">
        <f>SUM(J5:J30)</f>
        <v>87167371</v>
      </c>
      <c r="K31" s="507">
        <f>SUM(K5:K30)</f>
        <v>88383558.338155657</v>
      </c>
      <c r="L31" s="508">
        <f>SUM(L5:L30)</f>
        <v>93847208.421730116</v>
      </c>
      <c r="M31" s="509">
        <f t="shared" si="6"/>
        <v>98539568.842816621</v>
      </c>
      <c r="N31" s="510">
        <f>SUM(N5:N30)</f>
        <v>92743000</v>
      </c>
      <c r="O31" s="511">
        <f t="shared" si="7"/>
        <v>97380150</v>
      </c>
      <c r="P31" s="511" t="e">
        <f>SUM(P5:P30)</f>
        <v>#REF!</v>
      </c>
      <c r="Q31" s="511" t="e">
        <f t="shared" si="8"/>
        <v>#REF!</v>
      </c>
      <c r="R31" s="512" t="e">
        <f>P31/O31</f>
        <v>#REF!</v>
      </c>
      <c r="S31" s="511">
        <f t="shared" si="9"/>
        <v>97380150</v>
      </c>
      <c r="T31" s="513">
        <f>SUM(T5:T30)</f>
        <v>145066736</v>
      </c>
      <c r="U31" s="513">
        <f>SUM(U5:U30)</f>
        <v>0</v>
      </c>
      <c r="V31" s="513">
        <f>SUM(V5:V30)</f>
        <v>0</v>
      </c>
      <c r="W31" s="514">
        <f>'[4]1111-střednědobý výhled'!Y30</f>
        <v>109686968.22898361</v>
      </c>
      <c r="X31" s="514"/>
      <c r="Y31" s="515">
        <f>SUM(Y5:Y30)</f>
        <v>130965116.17909081</v>
      </c>
      <c r="Z31" s="515">
        <f>SUM(Z5:Z30)</f>
        <v>7673895.9900000002</v>
      </c>
      <c r="AA31" s="515">
        <f>SUM(AA5:AA30)</f>
        <v>-137392840.00999999</v>
      </c>
      <c r="AB31" s="515">
        <f>SUM(AB5:AB30)</f>
        <v>-123291220.18909082</v>
      </c>
      <c r="AC31" s="516"/>
      <c r="AD31" s="517">
        <f>SUM(AD5:AD30)</f>
        <v>106549259.91939759</v>
      </c>
      <c r="AE31" s="517">
        <f>SUM(AE5:AE30)</f>
        <v>204616732.25999999</v>
      </c>
      <c r="AF31" s="518">
        <f t="shared" si="11"/>
        <v>98067472.340602398</v>
      </c>
      <c r="AG31" s="519">
        <f>SUM(AG5:AG30)</f>
        <v>99608271.723397613</v>
      </c>
      <c r="AH31" s="515">
        <f>SUM(AH5:AH30)</f>
        <v>196697226.19158998</v>
      </c>
      <c r="AI31" s="520">
        <f>AH31-AE31</f>
        <v>-7919506.0684100091</v>
      </c>
      <c r="AJ31" s="521">
        <f>SUM(AJ5:AJ30)</f>
        <v>196314814.19999999</v>
      </c>
      <c r="AK31" s="522">
        <f>SUM(AK5:AK30)</f>
        <v>200444574.24248749</v>
      </c>
      <c r="AL31" s="523">
        <f>SUM(AL5:AL30)</f>
        <v>204215364.74906796</v>
      </c>
      <c r="AM31" s="524">
        <f t="shared" si="13"/>
        <v>-1.9441656549722291E-3</v>
      </c>
      <c r="AN31" s="513">
        <f t="shared" si="14"/>
        <v>-382411.99158999324</v>
      </c>
      <c r="AO31" s="1061">
        <f>SUM(AO5:AO30)</f>
        <v>206445598.06718561</v>
      </c>
      <c r="AP31" s="1012">
        <f>SUM(AP5:AP30)</f>
        <v>211680998.51999998</v>
      </c>
      <c r="AQ31" s="1119">
        <f t="shared" si="15"/>
        <v>5235400.4528143704</v>
      </c>
      <c r="AR31" s="1062">
        <f>SUM(AR5:AR30)</f>
        <v>206661005.11779162</v>
      </c>
      <c r="AS31" s="1063">
        <f>SUM(AS5:AS30)</f>
        <v>208601205.42600974</v>
      </c>
      <c r="AT31" s="1120">
        <f t="shared" ref="AT31:CA31" si="27">SUM(AT5:AT30)</f>
        <v>226205773.4463723</v>
      </c>
      <c r="AU31" s="1121">
        <f>SUM(AU5:AU30)</f>
        <v>220959936.63</v>
      </c>
      <c r="AV31" s="1122">
        <f t="shared" si="27"/>
        <v>228209848.29776001</v>
      </c>
      <c r="AW31" s="1123">
        <f t="shared" si="27"/>
        <v>225820945.98495495</v>
      </c>
      <c r="AX31" s="1123">
        <f t="shared" si="27"/>
        <v>234777711.25767308</v>
      </c>
      <c r="AY31" s="1123">
        <f t="shared" si="27"/>
        <v>239548167.48744357</v>
      </c>
      <c r="AZ31" s="1063">
        <f t="shared" si="27"/>
        <v>0</v>
      </c>
      <c r="BA31" s="1063">
        <f t="shared" si="27"/>
        <v>0</v>
      </c>
      <c r="BB31" s="1063">
        <f t="shared" si="27"/>
        <v>0</v>
      </c>
      <c r="BC31" s="1063">
        <f t="shared" si="27"/>
        <v>0</v>
      </c>
      <c r="BD31" s="1063">
        <f t="shared" si="27"/>
        <v>0</v>
      </c>
      <c r="BE31" s="1063">
        <f t="shared" si="27"/>
        <v>0</v>
      </c>
      <c r="BF31" s="1063">
        <f t="shared" si="27"/>
        <v>0</v>
      </c>
      <c r="BG31" s="1063">
        <f t="shared" si="27"/>
        <v>0</v>
      </c>
      <c r="BH31" s="1063">
        <f t="shared" si="27"/>
        <v>0</v>
      </c>
      <c r="BI31" s="1063">
        <f t="shared" si="27"/>
        <v>0</v>
      </c>
      <c r="BJ31" s="1063">
        <f t="shared" si="27"/>
        <v>0</v>
      </c>
      <c r="BK31" s="1063">
        <f t="shared" si="27"/>
        <v>0</v>
      </c>
      <c r="BL31" s="1063">
        <f t="shared" si="27"/>
        <v>0</v>
      </c>
      <c r="BM31" s="1063">
        <f t="shared" si="27"/>
        <v>0</v>
      </c>
      <c r="BN31" s="1063">
        <f t="shared" si="27"/>
        <v>0</v>
      </c>
      <c r="BO31" s="1063">
        <f t="shared" si="27"/>
        <v>0</v>
      </c>
      <c r="BP31" s="1063">
        <f t="shared" si="27"/>
        <v>0</v>
      </c>
      <c r="BQ31" s="1063">
        <f t="shared" si="27"/>
        <v>0</v>
      </c>
      <c r="BR31" s="1063">
        <f t="shared" si="27"/>
        <v>0</v>
      </c>
      <c r="BS31" s="1063">
        <f t="shared" si="27"/>
        <v>0</v>
      </c>
      <c r="BT31" s="1063">
        <f t="shared" si="27"/>
        <v>0</v>
      </c>
      <c r="BU31" s="1063">
        <f t="shared" si="27"/>
        <v>0</v>
      </c>
      <c r="BV31" s="1063">
        <f t="shared" si="27"/>
        <v>0</v>
      </c>
      <c r="BW31" s="1063">
        <f t="shared" si="27"/>
        <v>0</v>
      </c>
      <c r="BX31" s="1063">
        <f t="shared" si="27"/>
        <v>0</v>
      </c>
      <c r="BY31" s="1063">
        <f t="shared" si="27"/>
        <v>0</v>
      </c>
      <c r="BZ31" s="1063">
        <f t="shared" si="27"/>
        <v>0</v>
      </c>
      <c r="CA31" s="1063">
        <f t="shared" si="27"/>
        <v>0</v>
      </c>
      <c r="CB31" s="371"/>
      <c r="CD31" s="183"/>
    </row>
    <row r="32" spans="1:82" ht="15" thickBot="1">
      <c r="E32" s="186"/>
      <c r="F32" s="186"/>
      <c r="G32" s="186"/>
      <c r="H32" s="403"/>
      <c r="I32" s="186"/>
      <c r="J32" s="525"/>
      <c r="K32" s="403"/>
      <c r="L32" s="403"/>
      <c r="M32" s="526">
        <f t="shared" si="6"/>
        <v>0</v>
      </c>
      <c r="N32" s="527"/>
      <c r="O32" s="528">
        <f t="shared" si="7"/>
        <v>0</v>
      </c>
      <c r="P32" s="528"/>
      <c r="Q32" s="528">
        <f t="shared" si="8"/>
        <v>0</v>
      </c>
      <c r="R32" s="529"/>
      <c r="S32" s="528">
        <f t="shared" si="9"/>
        <v>0</v>
      </c>
      <c r="T32" s="185"/>
      <c r="U32" s="185"/>
      <c r="V32" s="372">
        <f>O32*1.05</f>
        <v>0</v>
      </c>
      <c r="W32" s="372"/>
      <c r="X32" s="372"/>
      <c r="Y32" s="530"/>
      <c r="Z32" s="530"/>
      <c r="AA32" s="372"/>
      <c r="AB32" s="372"/>
      <c r="AC32" s="372"/>
      <c r="AD32" s="372">
        <f>AD31-Z31</f>
        <v>98875363.929397598</v>
      </c>
      <c r="AE32" s="531"/>
      <c r="AF32" s="532"/>
      <c r="AG32" s="186"/>
      <c r="AH32" s="185"/>
      <c r="AI32" s="533"/>
      <c r="AJ32" s="534"/>
      <c r="AK32" s="185"/>
      <c r="AL32" s="185"/>
      <c r="AM32" s="534"/>
      <c r="AN32" s="185">
        <f>AO31-AJ31</f>
        <v>10130783.867185622</v>
      </c>
      <c r="AO32" s="535">
        <f>AO31/AJ31</f>
        <v>1.0516047854486654</v>
      </c>
      <c r="AP32" s="183">
        <f>AP31/AK31</f>
        <v>1.0560575127562157</v>
      </c>
      <c r="AQ32" s="183"/>
      <c r="AR32" s="536">
        <f>AR31/AO31</f>
        <v>1.0010434083004081</v>
      </c>
      <c r="AS32" s="536">
        <f>AS31/AR31</f>
        <v>1.0093883231967844</v>
      </c>
      <c r="AT32" s="703"/>
      <c r="AU32" s="710"/>
      <c r="AV32" s="718"/>
      <c r="AW32" s="719"/>
      <c r="AX32" s="720"/>
      <c r="AY32" s="1067"/>
      <c r="AZ32" s="185"/>
      <c r="BA32" s="185"/>
      <c r="BE32" s="368"/>
      <c r="BF32" s="1011"/>
      <c r="BG32" s="1011"/>
      <c r="BH32" s="1012"/>
      <c r="BI32" s="1012"/>
      <c r="BJ32" s="1012"/>
      <c r="BK32" s="1069"/>
      <c r="BN32" s="185"/>
      <c r="BQ32" s="185"/>
      <c r="BS32" s="368"/>
      <c r="BT32" s="368"/>
      <c r="BU32" s="368"/>
      <c r="CB32" s="371"/>
      <c r="CD32" s="183"/>
    </row>
    <row r="33" spans="1:82">
      <c r="A33" s="537" t="s">
        <v>1419</v>
      </c>
      <c r="B33" s="538" t="s">
        <v>1420</v>
      </c>
      <c r="C33" s="539"/>
      <c r="D33" s="539"/>
      <c r="E33" s="540"/>
      <c r="F33" s="541"/>
      <c r="G33" s="542"/>
      <c r="H33" s="423"/>
      <c r="I33" s="542"/>
      <c r="J33" s="543"/>
      <c r="K33" s="423"/>
      <c r="L33" s="423"/>
      <c r="M33" s="544"/>
      <c r="N33" s="545"/>
      <c r="O33" s="546"/>
      <c r="P33" s="546"/>
      <c r="Q33" s="546"/>
      <c r="R33" s="547"/>
      <c r="S33" s="546"/>
      <c r="T33" s="548">
        <v>239358</v>
      </c>
      <c r="U33" s="549"/>
      <c r="V33" s="548"/>
      <c r="W33" s="550"/>
      <c r="X33" s="551"/>
      <c r="Y33" s="552"/>
      <c r="Z33" s="548"/>
      <c r="AA33" s="548"/>
      <c r="AB33" s="548"/>
      <c r="AC33" s="553"/>
      <c r="AD33" s="554"/>
      <c r="AE33" s="555"/>
      <c r="AF33" s="556">
        <f t="shared" si="11"/>
        <v>0</v>
      </c>
      <c r="AG33" s="541"/>
      <c r="AH33" s="549"/>
      <c r="AI33" s="553"/>
      <c r="AJ33" s="557"/>
      <c r="AK33" s="558"/>
      <c r="AL33" s="549"/>
      <c r="AM33" s="557"/>
      <c r="AN33" s="549"/>
      <c r="AO33" s="559"/>
      <c r="AP33" s="549"/>
      <c r="AQ33" s="549"/>
      <c r="AR33" s="560"/>
      <c r="AS33" s="561"/>
      <c r="AT33" s="704"/>
      <c r="AU33" s="711"/>
      <c r="AV33" s="721"/>
      <c r="AW33" s="722"/>
      <c r="AX33" s="723"/>
      <c r="AY33" s="1067"/>
      <c r="AZ33" s="185"/>
      <c r="BA33" s="185"/>
      <c r="BE33" s="368"/>
      <c r="BF33" s="1011"/>
      <c r="BG33" s="1011"/>
      <c r="BH33" s="1012"/>
      <c r="BI33" s="1012"/>
      <c r="BJ33" s="1012"/>
      <c r="BK33" s="1069"/>
      <c r="BN33" s="185"/>
      <c r="BQ33" s="185"/>
      <c r="BS33" s="368"/>
      <c r="BT33" s="368"/>
      <c r="BU33" s="368"/>
      <c r="CB33" s="371"/>
      <c r="CD33" s="183"/>
    </row>
    <row r="34" spans="1:82">
      <c r="A34" s="1124">
        <v>602.601</v>
      </c>
      <c r="B34" s="1125" t="s">
        <v>1421</v>
      </c>
      <c r="C34" s="1040">
        <v>7769.88</v>
      </c>
      <c r="D34" s="1041">
        <v>5000</v>
      </c>
      <c r="E34" s="1126">
        <v>180243.63</v>
      </c>
      <c r="F34" s="1127">
        <f t="shared" si="5"/>
        <v>172473.75</v>
      </c>
      <c r="G34" s="1043">
        <v>5000</v>
      </c>
      <c r="H34" s="1044">
        <v>180000</v>
      </c>
      <c r="I34" s="1043">
        <f t="shared" ref="I34:I46" si="28">H34-G34</f>
        <v>175000</v>
      </c>
      <c r="J34" s="1045">
        <v>267539</v>
      </c>
      <c r="K34" s="1046">
        <v>180000</v>
      </c>
      <c r="L34" s="1128">
        <v>189108</v>
      </c>
      <c r="M34" s="1048">
        <f t="shared" si="6"/>
        <v>198563.4</v>
      </c>
      <c r="N34" s="1049">
        <v>180000</v>
      </c>
      <c r="O34" s="1050">
        <f t="shared" si="7"/>
        <v>189000</v>
      </c>
      <c r="P34" s="1050">
        <v>0</v>
      </c>
      <c r="Q34" s="1050">
        <f t="shared" si="8"/>
        <v>-180000</v>
      </c>
      <c r="R34" s="1051">
        <f>P34/O34</f>
        <v>0</v>
      </c>
      <c r="S34" s="1050">
        <f t="shared" si="9"/>
        <v>189000</v>
      </c>
      <c r="T34" s="1012">
        <f>2919239-8264</f>
        <v>2910975</v>
      </c>
      <c r="U34" s="1012">
        <f>297001.14+2613973.96</f>
        <v>2910975.1</v>
      </c>
      <c r="V34" s="1052">
        <v>0</v>
      </c>
      <c r="W34" s="452">
        <f>'[4]1111-střednědobý výhled'!Y32</f>
        <v>0</v>
      </c>
      <c r="X34" s="452"/>
      <c r="Y34" s="1053">
        <v>2250000</v>
      </c>
      <c r="Z34" s="1114">
        <f>419900+2616567</f>
        <v>3036467</v>
      </c>
      <c r="AA34" s="1114">
        <f>Z34-734</f>
        <v>3035733</v>
      </c>
      <c r="AB34" s="1114">
        <f t="shared" ref="AB34:AB40" si="29">Y34-Z34</f>
        <v>-786467</v>
      </c>
      <c r="AC34" s="1129"/>
      <c r="AD34" s="562">
        <f>[8]SDV!$AE$34</f>
        <v>3037337.72</v>
      </c>
      <c r="AE34" s="1109">
        <v>4626163</v>
      </c>
      <c r="AF34" s="563">
        <f t="shared" si="11"/>
        <v>1588825.2799999998</v>
      </c>
      <c r="AG34" s="1004">
        <v>3100000</v>
      </c>
      <c r="AH34" s="1130">
        <f>'[6]Doplňková činnost'!C37*1000</f>
        <v>3850000</v>
      </c>
      <c r="AI34" s="1131"/>
      <c r="AJ34" s="1132">
        <v>5846653.54</v>
      </c>
      <c r="AK34" s="1059">
        <f>AH34</f>
        <v>3850000</v>
      </c>
      <c r="AL34" s="1012">
        <f>AK34</f>
        <v>3850000</v>
      </c>
      <c r="AM34" s="1133">
        <f>AN34/AH34</f>
        <v>-0.51861130909090913</v>
      </c>
      <c r="AN34" s="1012">
        <f>AH34-AJ34</f>
        <v>-1996653.54</v>
      </c>
      <c r="AO34" s="1061">
        <f>5900000+200000</f>
        <v>6100000</v>
      </c>
      <c r="AP34" s="1012">
        <f>264405.1+5824142.7</f>
        <v>6088547.7999999998</v>
      </c>
      <c r="AQ34" s="1012">
        <f>AP34-AO34</f>
        <v>-11452.200000000186</v>
      </c>
      <c r="AR34" s="1062">
        <f>AO34*1.2</f>
        <v>7320000</v>
      </c>
      <c r="AS34" s="1063">
        <f>AR34*1.4</f>
        <v>10248000</v>
      </c>
      <c r="AT34" s="1064">
        <f>AR34</f>
        <v>7320000</v>
      </c>
      <c r="AU34" s="1065">
        <v>5889884.5099999998</v>
      </c>
      <c r="AV34" s="1066">
        <f>AU34*1.05</f>
        <v>6184378.7355000004</v>
      </c>
      <c r="AW34" s="1067">
        <f>AT34*1.1</f>
        <v>8052000.0000000009</v>
      </c>
      <c r="AX34" s="1068">
        <f>AV34*1.05</f>
        <v>6493597.6722750003</v>
      </c>
      <c r="AY34" s="1067">
        <f>AX34*1.05</f>
        <v>6818277.5558887506</v>
      </c>
      <c r="AZ34" s="185"/>
      <c r="BA34" s="185"/>
      <c r="BE34" s="368"/>
      <c r="BF34" s="1011"/>
      <c r="BG34" s="1011"/>
      <c r="BH34" s="1012"/>
      <c r="BI34" s="1012"/>
      <c r="BJ34" s="1012"/>
      <c r="BK34" s="1069"/>
      <c r="BN34" s="185"/>
      <c r="BQ34" s="185"/>
      <c r="BS34" s="368"/>
      <c r="BT34" s="368"/>
      <c r="BU34" s="368"/>
      <c r="CB34" s="371"/>
      <c r="CD34" s="183"/>
    </row>
    <row r="35" spans="1:82">
      <c r="A35" s="1124" t="s">
        <v>1422</v>
      </c>
      <c r="B35" s="1125" t="s">
        <v>1423</v>
      </c>
      <c r="C35" s="1040">
        <v>80058.960000000006</v>
      </c>
      <c r="D35" s="1041">
        <v>80000</v>
      </c>
      <c r="E35" s="1126">
        <v>154310.41</v>
      </c>
      <c r="F35" s="1127">
        <f t="shared" si="5"/>
        <v>74251.45</v>
      </c>
      <c r="G35" s="1043">
        <v>80000</v>
      </c>
      <c r="H35" s="1044">
        <v>150000</v>
      </c>
      <c r="I35" s="1043">
        <f t="shared" si="28"/>
        <v>70000</v>
      </c>
      <c r="J35" s="1045">
        <v>292086</v>
      </c>
      <c r="K35" s="1046">
        <v>150000</v>
      </c>
      <c r="L35" s="1128">
        <v>157590</v>
      </c>
      <c r="M35" s="1048">
        <f t="shared" si="6"/>
        <v>165469.5</v>
      </c>
      <c r="N35" s="1049">
        <v>150000</v>
      </c>
      <c r="O35" s="1050">
        <f t="shared" si="7"/>
        <v>157500</v>
      </c>
      <c r="P35" s="1050">
        <v>0</v>
      </c>
      <c r="Q35" s="1050">
        <f t="shared" si="8"/>
        <v>-150000</v>
      </c>
      <c r="R35" s="1051">
        <f>P35/O35</f>
        <v>0</v>
      </c>
      <c r="S35" s="1050">
        <f t="shared" si="9"/>
        <v>157500</v>
      </c>
      <c r="T35" s="1012">
        <v>277065</v>
      </c>
      <c r="U35" s="1012">
        <v>277064.40000000002</v>
      </c>
      <c r="V35" s="1052">
        <v>0</v>
      </c>
      <c r="W35" s="452">
        <f>'[4]1111-střednědobý výhled'!Y33</f>
        <v>0</v>
      </c>
      <c r="X35" s="452"/>
      <c r="Y35" s="1053">
        <v>0</v>
      </c>
      <c r="Z35" s="1114">
        <v>276486</v>
      </c>
      <c r="AA35" s="1114">
        <f t="shared" ref="AA35:AA43" si="30">Z35-734</f>
        <v>275752</v>
      </c>
      <c r="AB35" s="1114">
        <f t="shared" si="29"/>
        <v>-276486</v>
      </c>
      <c r="AC35" s="1129"/>
      <c r="AD35" s="562">
        <f>[8]SDV!$AE$35</f>
        <v>276486.33</v>
      </c>
      <c r="AE35" s="1109">
        <v>543749.36</v>
      </c>
      <c r="AF35" s="563">
        <f t="shared" si="11"/>
        <v>267263.02999999997</v>
      </c>
      <c r="AG35" s="1004">
        <v>300000</v>
      </c>
      <c r="AH35" s="1012">
        <f>AH7*1.3+142695</f>
        <v>846715.8461000002</v>
      </c>
      <c r="AI35" s="1131"/>
      <c r="AJ35" s="1132">
        <v>528120.21</v>
      </c>
      <c r="AK35" s="1059">
        <f>AK7*1.3</f>
        <v>721621.36725250003</v>
      </c>
      <c r="AL35" s="1012">
        <f>AL7*1.3</f>
        <v>736053.79459755006</v>
      </c>
      <c r="AM35" s="1133">
        <f t="shared" ref="AM35:AM52" si="31">AN35/AH35</f>
        <v>0.37627220225942593</v>
      </c>
      <c r="AN35" s="1012">
        <f t="shared" ref="AN35:AN52" si="32">AH35-AJ35</f>
        <v>318595.63610000024</v>
      </c>
      <c r="AO35" s="1061">
        <v>580000</v>
      </c>
      <c r="AP35" s="1012">
        <v>791451.05</v>
      </c>
      <c r="AQ35" s="1012">
        <f t="shared" ref="AQ35:AQ46" si="33">AP35-AO35</f>
        <v>211451.05000000005</v>
      </c>
      <c r="AR35" s="1062">
        <f>AO35*1.03</f>
        <v>597400</v>
      </c>
      <c r="AS35" s="1063">
        <f>AR35*1.02</f>
        <v>609348</v>
      </c>
      <c r="AT35" s="1064">
        <v>850000</v>
      </c>
      <c r="AU35" s="1065">
        <v>883101.03</v>
      </c>
      <c r="AV35" s="1066">
        <f t="shared" ref="AV35:AV36" si="34">AT35</f>
        <v>850000</v>
      </c>
      <c r="AW35" s="1067">
        <v>1000000</v>
      </c>
      <c r="AX35" s="1068">
        <f>AW35*1.05</f>
        <v>1050000</v>
      </c>
      <c r="AY35" s="1067">
        <f>AX35*1.05</f>
        <v>1102500</v>
      </c>
      <c r="AZ35" s="185"/>
      <c r="BA35" s="185"/>
      <c r="BE35" s="368"/>
      <c r="BF35" s="1011"/>
      <c r="BG35" s="1011"/>
      <c r="BH35" s="1012"/>
      <c r="BI35" s="1012"/>
      <c r="BJ35" s="1012"/>
      <c r="BK35" s="1069"/>
      <c r="BN35" s="185"/>
      <c r="BQ35" s="185"/>
      <c r="BS35" s="368"/>
      <c r="BT35" s="368"/>
      <c r="BU35" s="368"/>
      <c r="CB35" s="371"/>
      <c r="CD35" s="183"/>
    </row>
    <row r="36" spans="1:82">
      <c r="A36" s="1134">
        <v>611</v>
      </c>
      <c r="B36" s="1125" t="s">
        <v>1424</v>
      </c>
      <c r="C36" s="1111">
        <v>0</v>
      </c>
      <c r="D36" s="1041">
        <v>0</v>
      </c>
      <c r="E36" s="1126">
        <v>0</v>
      </c>
      <c r="F36" s="1127">
        <f t="shared" si="5"/>
        <v>0</v>
      </c>
      <c r="G36" s="1043">
        <v>0</v>
      </c>
      <c r="H36" s="1044">
        <v>0</v>
      </c>
      <c r="I36" s="1043">
        <f t="shared" si="28"/>
        <v>0</v>
      </c>
      <c r="J36" s="1045">
        <v>0</v>
      </c>
      <c r="K36" s="1046"/>
      <c r="L36" s="1128">
        <v>0</v>
      </c>
      <c r="M36" s="1048">
        <f t="shared" si="6"/>
        <v>0</v>
      </c>
      <c r="N36" s="1049">
        <v>0</v>
      </c>
      <c r="O36" s="1050">
        <f t="shared" si="7"/>
        <v>0</v>
      </c>
      <c r="P36" s="1050">
        <v>0</v>
      </c>
      <c r="Q36" s="1050">
        <f t="shared" si="8"/>
        <v>0</v>
      </c>
      <c r="R36" s="1051"/>
      <c r="S36" s="1050">
        <f t="shared" si="9"/>
        <v>0</v>
      </c>
      <c r="T36" s="1012">
        <v>0</v>
      </c>
      <c r="U36" s="1012">
        <v>0</v>
      </c>
      <c r="V36" s="1052">
        <f>O36*1.05</f>
        <v>0</v>
      </c>
      <c r="W36" s="452">
        <f>'[4]1111-střednědobý výhled'!Y34</f>
        <v>0</v>
      </c>
      <c r="X36" s="452"/>
      <c r="Y36" s="1053">
        <f>T36*1.05</f>
        <v>0</v>
      </c>
      <c r="Z36" s="1114">
        <v>0</v>
      </c>
      <c r="AA36" s="1114">
        <f t="shared" si="30"/>
        <v>-734</v>
      </c>
      <c r="AB36" s="1114">
        <f t="shared" si="29"/>
        <v>0</v>
      </c>
      <c r="AC36" s="1129"/>
      <c r="AD36" s="562"/>
      <c r="AE36" s="564">
        <v>0</v>
      </c>
      <c r="AF36" s="563">
        <f>BB32-AD36</f>
        <v>0</v>
      </c>
      <c r="AG36" s="1004"/>
      <c r="AH36" s="1012"/>
      <c r="AI36" s="1131"/>
      <c r="AJ36" s="1132"/>
      <c r="AK36" s="1059"/>
      <c r="AL36" s="1012"/>
      <c r="AM36" s="1133"/>
      <c r="AN36" s="1012">
        <f t="shared" si="32"/>
        <v>0</v>
      </c>
      <c r="AO36" s="1061"/>
      <c r="AP36" s="1012"/>
      <c r="AQ36" s="1012">
        <f t="shared" si="33"/>
        <v>0</v>
      </c>
      <c r="AR36" s="1062"/>
      <c r="AS36" s="1063"/>
      <c r="AT36" s="1064"/>
      <c r="AU36" s="1065"/>
      <c r="AV36" s="1066">
        <f t="shared" si="34"/>
        <v>0</v>
      </c>
      <c r="AW36" s="1067"/>
      <c r="AX36" s="1068"/>
      <c r="AY36" s="1067"/>
      <c r="AZ36" s="185"/>
      <c r="BA36" s="185"/>
      <c r="BE36" s="368"/>
      <c r="BF36" s="1011"/>
      <c r="BG36" s="1011"/>
      <c r="BH36" s="1012"/>
      <c r="BI36" s="1012"/>
      <c r="BJ36" s="1012"/>
      <c r="BK36" s="1069"/>
      <c r="BN36" s="185"/>
      <c r="BQ36" s="185"/>
      <c r="BS36" s="368"/>
      <c r="BT36" s="368"/>
      <c r="BU36" s="368"/>
      <c r="CB36" s="371"/>
      <c r="CD36" s="183"/>
    </row>
    <row r="37" spans="1:82">
      <c r="A37" s="1124">
        <v>645.64200000000005</v>
      </c>
      <c r="B37" s="1125" t="s">
        <v>1425</v>
      </c>
      <c r="C37" s="1040">
        <v>181.35</v>
      </c>
      <c r="D37" s="1041">
        <v>0</v>
      </c>
      <c r="E37" s="1126">
        <v>1567.86</v>
      </c>
      <c r="F37" s="1127">
        <f t="shared" si="5"/>
        <v>1386.51</v>
      </c>
      <c r="G37" s="1043">
        <v>0</v>
      </c>
      <c r="H37" s="1044">
        <v>0</v>
      </c>
      <c r="I37" s="1043">
        <f t="shared" si="28"/>
        <v>0</v>
      </c>
      <c r="J37" s="1045">
        <v>8852</v>
      </c>
      <c r="K37" s="1046">
        <v>0</v>
      </c>
      <c r="L37" s="1128">
        <v>1050.6000000000001</v>
      </c>
      <c r="M37" s="1048">
        <f t="shared" si="6"/>
        <v>1103.1300000000001</v>
      </c>
      <c r="N37" s="1049">
        <v>1000</v>
      </c>
      <c r="O37" s="1050">
        <f t="shared" si="7"/>
        <v>1050</v>
      </c>
      <c r="P37" s="1050" t="e">
        <f>'[3]Výsledovka 2020 1111'!#REF!</f>
        <v>#REF!</v>
      </c>
      <c r="Q37" s="1050" t="e">
        <f t="shared" si="8"/>
        <v>#REF!</v>
      </c>
      <c r="R37" s="1051" t="e">
        <f>P37/O37</f>
        <v>#REF!</v>
      </c>
      <c r="S37" s="1050">
        <f t="shared" si="9"/>
        <v>1050</v>
      </c>
      <c r="T37" s="1012">
        <v>219767</v>
      </c>
      <c r="U37" s="1012">
        <f>33275+186491.47</f>
        <v>219766.47</v>
      </c>
      <c r="V37" s="1052">
        <v>0</v>
      </c>
      <c r="W37" s="452">
        <f>'[4]1111-střednědobý výhled'!Y35</f>
        <v>0</v>
      </c>
      <c r="X37" s="452"/>
      <c r="Y37" s="1053">
        <v>0</v>
      </c>
      <c r="Z37" s="1114">
        <v>-21508</v>
      </c>
      <c r="AA37" s="1114">
        <f t="shared" si="30"/>
        <v>-22242</v>
      </c>
      <c r="AB37" s="1114">
        <f t="shared" si="29"/>
        <v>21508</v>
      </c>
      <c r="AC37" s="1129"/>
      <c r="AD37" s="562"/>
      <c r="AE37" s="1109">
        <v>-7061</v>
      </c>
      <c r="AF37" s="563">
        <f t="shared" si="11"/>
        <v>-7061</v>
      </c>
      <c r="AG37" s="1004"/>
      <c r="AH37" s="1012"/>
      <c r="AI37" s="1131"/>
      <c r="AJ37" s="1132">
        <v>333893.95</v>
      </c>
      <c r="AK37" s="1059"/>
      <c r="AL37" s="1012"/>
      <c r="AM37" s="1133"/>
      <c r="AN37" s="1012">
        <f t="shared" si="32"/>
        <v>-333893.95</v>
      </c>
      <c r="AO37" s="1061">
        <v>340000</v>
      </c>
      <c r="AP37" s="1012">
        <v>259432.12</v>
      </c>
      <c r="AQ37" s="1012">
        <f t="shared" si="33"/>
        <v>-80567.88</v>
      </c>
      <c r="AR37" s="1062">
        <f>AO37*1.02</f>
        <v>346800</v>
      </c>
      <c r="AS37" s="1063">
        <f>AR37*1.02</f>
        <v>353736</v>
      </c>
      <c r="AT37" s="1064">
        <v>200000</v>
      </c>
      <c r="AU37" s="1065">
        <v>7000</v>
      </c>
      <c r="AV37" s="1066">
        <v>10000</v>
      </c>
      <c r="AW37" s="1067">
        <v>10000</v>
      </c>
      <c r="AX37" s="1068">
        <v>10000</v>
      </c>
      <c r="AY37" s="1067">
        <v>10000</v>
      </c>
      <c r="AZ37" s="185"/>
      <c r="BA37" s="185"/>
      <c r="BE37" s="368"/>
      <c r="BF37" s="1011"/>
      <c r="BG37" s="1011"/>
      <c r="BH37" s="1012"/>
      <c r="BI37" s="1012"/>
      <c r="BJ37" s="1012"/>
      <c r="BK37" s="1069"/>
      <c r="BN37" s="185"/>
      <c r="BQ37" s="185"/>
      <c r="BS37" s="368"/>
      <c r="BT37" s="368"/>
      <c r="BU37" s="368"/>
      <c r="CB37" s="371"/>
      <c r="CD37" s="183"/>
    </row>
    <row r="38" spans="1:82">
      <c r="A38" s="1134">
        <v>648</v>
      </c>
      <c r="B38" s="1125" t="s">
        <v>1426</v>
      </c>
      <c r="C38" s="1111">
        <v>0</v>
      </c>
      <c r="D38" s="1041">
        <v>0</v>
      </c>
      <c r="E38" s="1126">
        <v>0</v>
      </c>
      <c r="F38" s="1127">
        <f t="shared" si="5"/>
        <v>0</v>
      </c>
      <c r="G38" s="1043">
        <v>0</v>
      </c>
      <c r="H38" s="1044">
        <v>0</v>
      </c>
      <c r="I38" s="1043">
        <f t="shared" si="28"/>
        <v>0</v>
      </c>
      <c r="J38" s="1045">
        <v>0</v>
      </c>
      <c r="K38" s="1046">
        <v>0</v>
      </c>
      <c r="L38" s="1047">
        <v>0</v>
      </c>
      <c r="M38" s="1048">
        <f t="shared" si="6"/>
        <v>0</v>
      </c>
      <c r="N38" s="1049">
        <v>0</v>
      </c>
      <c r="O38" s="1050">
        <f t="shared" si="7"/>
        <v>0</v>
      </c>
      <c r="P38" s="1050" t="e">
        <f>'[3]Výsledovka 2020 1111'!#REF!</f>
        <v>#REF!</v>
      </c>
      <c r="Q38" s="1050" t="e">
        <f t="shared" si="8"/>
        <v>#REF!</v>
      </c>
      <c r="R38" s="1051"/>
      <c r="S38" s="1050">
        <f t="shared" si="9"/>
        <v>0</v>
      </c>
      <c r="T38" s="1012">
        <v>1642964</v>
      </c>
      <c r="U38" s="1012">
        <v>1568395.83</v>
      </c>
      <c r="V38" s="1052">
        <f>O38*1.05</f>
        <v>0</v>
      </c>
      <c r="W38" s="452">
        <f>'[4]1111-střednědobý výhled'!Y36</f>
        <v>0</v>
      </c>
      <c r="X38" s="452"/>
      <c r="Y38" s="1053">
        <v>0</v>
      </c>
      <c r="Z38" s="1114">
        <v>3169950</v>
      </c>
      <c r="AA38" s="1114">
        <f t="shared" si="30"/>
        <v>3169216</v>
      </c>
      <c r="AB38" s="1114">
        <f t="shared" si="29"/>
        <v>-3169950</v>
      </c>
      <c r="AC38" s="1129"/>
      <c r="AD38" s="562">
        <f>[8]SDV!$AE$38</f>
        <v>22231407.950000007</v>
      </c>
      <c r="AE38" s="1109">
        <v>1452783</v>
      </c>
      <c r="AF38" s="563">
        <f t="shared" si="11"/>
        <v>-20778624.950000007</v>
      </c>
      <c r="AG38" s="1059">
        <f>12423317-200000-6000000+6315000-2000000-278644+1186040+476667</f>
        <v>11922380</v>
      </c>
      <c r="AH38" s="1130">
        <f>'[6]Fondy 2024'!S47*1000-1931964</f>
        <v>3493036</v>
      </c>
      <c r="AI38" s="1135"/>
      <c r="AJ38" s="1132">
        <v>8147319.0199999996</v>
      </c>
      <c r="AK38" s="1136">
        <f>AK24-2500000+6308917-4039461-4817664+2169191</f>
        <v>10216052</v>
      </c>
      <c r="AL38" s="1130">
        <v>10472448</v>
      </c>
      <c r="AM38" s="1133">
        <f t="shared" si="31"/>
        <v>-1.332446336081277</v>
      </c>
      <c r="AN38" s="1012">
        <f t="shared" si="32"/>
        <v>-4654283.0199999996</v>
      </c>
      <c r="AO38" s="1061">
        <v>8300000</v>
      </c>
      <c r="AP38" s="1012">
        <v>17839286.120000001</v>
      </c>
      <c r="AQ38" s="1012">
        <f t="shared" si="33"/>
        <v>9539286.120000001</v>
      </c>
      <c r="AR38" s="1062">
        <f>AO38</f>
        <v>8300000</v>
      </c>
      <c r="AS38" s="1063">
        <f>AR38</f>
        <v>8300000</v>
      </c>
      <c r="AT38" s="1064">
        <v>9000000</v>
      </c>
      <c r="AU38" s="1065">
        <v>2622465</v>
      </c>
      <c r="AV38" s="1066">
        <v>7000000</v>
      </c>
      <c r="AW38" s="1067">
        <v>7500000</v>
      </c>
      <c r="AX38" s="1068">
        <v>9000000</v>
      </c>
      <c r="AY38" s="1067">
        <v>9000000</v>
      </c>
      <c r="AZ38" s="185"/>
      <c r="BA38" s="185"/>
      <c r="BE38" s="368"/>
      <c r="BF38" s="1011"/>
      <c r="BG38" s="1011"/>
      <c r="BH38" s="1012"/>
      <c r="BI38" s="1012"/>
      <c r="BJ38" s="1012"/>
      <c r="BK38" s="1069"/>
      <c r="BN38" s="185"/>
      <c r="BQ38" s="185"/>
      <c r="BS38" s="368"/>
      <c r="BT38" s="368"/>
      <c r="BU38" s="368"/>
      <c r="CB38" s="371"/>
      <c r="CD38" s="183"/>
    </row>
    <row r="39" spans="1:82">
      <c r="A39" s="1124" t="s">
        <v>1427</v>
      </c>
      <c r="B39" s="1125" t="s">
        <v>1428</v>
      </c>
      <c r="C39" s="1040">
        <v>13068.4</v>
      </c>
      <c r="D39" s="1041">
        <v>0</v>
      </c>
      <c r="E39" s="1126">
        <v>4653403.97</v>
      </c>
      <c r="F39" s="1127">
        <f t="shared" si="5"/>
        <v>4640335.5699999994</v>
      </c>
      <c r="G39" s="1043">
        <v>0</v>
      </c>
      <c r="H39" s="1044">
        <v>0</v>
      </c>
      <c r="I39" s="1043">
        <f t="shared" si="28"/>
        <v>0</v>
      </c>
      <c r="J39" s="1045">
        <v>13579</v>
      </c>
      <c r="K39" s="1046">
        <v>0</v>
      </c>
      <c r="L39" s="1047">
        <v>0</v>
      </c>
      <c r="M39" s="1048">
        <f t="shared" si="6"/>
        <v>0</v>
      </c>
      <c r="N39" s="1049">
        <v>0</v>
      </c>
      <c r="O39" s="1050">
        <f t="shared" si="7"/>
        <v>0</v>
      </c>
      <c r="P39" s="1050" t="e">
        <f>'[3]Výsledovka 2020 1111'!#REF!</f>
        <v>#REF!</v>
      </c>
      <c r="Q39" s="1050" t="e">
        <f t="shared" si="8"/>
        <v>#REF!</v>
      </c>
      <c r="R39" s="1051"/>
      <c r="S39" s="1050">
        <f t="shared" si="9"/>
        <v>0</v>
      </c>
      <c r="T39" s="1012">
        <v>3153668</v>
      </c>
      <c r="U39" s="1012">
        <v>3153667.73</v>
      </c>
      <c r="V39" s="1052">
        <f>O39*1.05</f>
        <v>0</v>
      </c>
      <c r="W39" s="452">
        <f>'[4]1111-střednědobý výhled'!Y37</f>
        <v>106.02900000000001</v>
      </c>
      <c r="X39" s="452"/>
      <c r="Y39" s="1053">
        <v>0</v>
      </c>
      <c r="Z39" s="1114">
        <v>816131</v>
      </c>
      <c r="AA39" s="1114">
        <f t="shared" si="30"/>
        <v>815397</v>
      </c>
      <c r="AB39" s="1114">
        <f t="shared" si="29"/>
        <v>-816131</v>
      </c>
      <c r="AC39" s="1129"/>
      <c r="AD39" s="562"/>
      <c r="AE39" s="1109">
        <v>10340191</v>
      </c>
      <c r="AF39" s="563">
        <f t="shared" si="11"/>
        <v>10340191</v>
      </c>
      <c r="AG39" s="1059"/>
      <c r="AH39" s="1113">
        <f>AH24-3800000</f>
        <v>9295069</v>
      </c>
      <c r="AI39" s="1131"/>
      <c r="AJ39" s="1132">
        <v>9862339.5299999993</v>
      </c>
      <c r="AK39" s="1059">
        <v>10500000</v>
      </c>
      <c r="AL39" s="1012">
        <f>AK39</f>
        <v>10500000</v>
      </c>
      <c r="AM39" s="1133">
        <f t="shared" si="31"/>
        <v>-6.1029189777934874E-2</v>
      </c>
      <c r="AN39" s="1012">
        <f t="shared" si="32"/>
        <v>-567270.52999999933</v>
      </c>
      <c r="AO39" s="1061">
        <v>10000000</v>
      </c>
      <c r="AP39" s="1012">
        <v>9644060.8200000003</v>
      </c>
      <c r="AQ39" s="1012">
        <f t="shared" si="33"/>
        <v>-355939.1799999997</v>
      </c>
      <c r="AR39" s="1062">
        <f>AO39*1.03</f>
        <v>10300000</v>
      </c>
      <c r="AS39" s="1063">
        <f>AR39*1.02</f>
        <v>10506000</v>
      </c>
      <c r="AT39" s="1064">
        <f>AR39</f>
        <v>10300000</v>
      </c>
      <c r="AU39" s="1065">
        <v>10220035.73</v>
      </c>
      <c r="AV39" s="1066">
        <v>10500000</v>
      </c>
      <c r="AW39" s="1067">
        <f>AV39*1.02</f>
        <v>10710000</v>
      </c>
      <c r="AX39" s="1068">
        <f>AW39*1.02</f>
        <v>10924200</v>
      </c>
      <c r="AY39" s="1067">
        <f>AX39*1.02</f>
        <v>11142684</v>
      </c>
      <c r="AZ39" s="185"/>
      <c r="BA39" s="185"/>
      <c r="BE39" s="368"/>
      <c r="BF39" s="1011"/>
      <c r="BG39" s="1011"/>
      <c r="BH39" s="1012"/>
      <c r="BI39" s="1012"/>
      <c r="BJ39" s="1012"/>
      <c r="BK39" s="1069"/>
      <c r="BN39" s="185"/>
      <c r="BQ39" s="185"/>
      <c r="BS39" s="368"/>
      <c r="BT39" s="368"/>
      <c r="BU39" s="368"/>
      <c r="CB39" s="371"/>
      <c r="CD39" s="183"/>
    </row>
    <row r="40" spans="1:82">
      <c r="A40" s="1137">
        <v>652</v>
      </c>
      <c r="B40" s="1138" t="s">
        <v>1429</v>
      </c>
      <c r="C40" s="1040">
        <v>0</v>
      </c>
      <c r="D40" s="1041">
        <v>0</v>
      </c>
      <c r="E40" s="1139">
        <v>0</v>
      </c>
      <c r="F40" s="1140">
        <f t="shared" si="5"/>
        <v>0</v>
      </c>
      <c r="G40" s="1043">
        <v>0</v>
      </c>
      <c r="H40" s="1044">
        <v>0</v>
      </c>
      <c r="I40" s="1043">
        <f t="shared" si="28"/>
        <v>0</v>
      </c>
      <c r="J40" s="1045">
        <v>1652</v>
      </c>
      <c r="K40" s="1046">
        <v>0</v>
      </c>
      <c r="L40" s="1047">
        <v>0</v>
      </c>
      <c r="M40" s="1048">
        <f t="shared" si="6"/>
        <v>0</v>
      </c>
      <c r="N40" s="1049">
        <v>0</v>
      </c>
      <c r="O40" s="1050">
        <f t="shared" si="7"/>
        <v>0</v>
      </c>
      <c r="P40" s="1050">
        <v>0</v>
      </c>
      <c r="Q40" s="1050">
        <f t="shared" si="8"/>
        <v>0</v>
      </c>
      <c r="R40" s="1051"/>
      <c r="S40" s="1050">
        <f t="shared" si="9"/>
        <v>0</v>
      </c>
      <c r="T40" s="1012">
        <v>0</v>
      </c>
      <c r="U40" s="1012">
        <v>0</v>
      </c>
      <c r="V40" s="1052">
        <f>O40*1.05</f>
        <v>0</v>
      </c>
      <c r="W40" s="452">
        <f>'[4]1111-střednědobý výhled'!Y38</f>
        <v>0</v>
      </c>
      <c r="X40" s="452"/>
      <c r="Y40" s="1053">
        <f>T40*1.05</f>
        <v>0</v>
      </c>
      <c r="Z40" s="1114">
        <f>0</f>
        <v>0</v>
      </c>
      <c r="AA40" s="1114">
        <f t="shared" si="30"/>
        <v>-734</v>
      </c>
      <c r="AB40" s="1114">
        <f t="shared" si="29"/>
        <v>0</v>
      </c>
      <c r="AC40" s="1129"/>
      <c r="AD40" s="562"/>
      <c r="AE40" s="1109">
        <v>2000</v>
      </c>
      <c r="AF40" s="563">
        <f t="shared" si="11"/>
        <v>2000</v>
      </c>
      <c r="AG40" s="1059"/>
      <c r="AI40" s="1131"/>
      <c r="AJ40" s="1132"/>
      <c r="AK40" s="1059"/>
      <c r="AL40" s="1012"/>
      <c r="AM40" s="1133"/>
      <c r="AN40" s="1012">
        <f t="shared" si="32"/>
        <v>0</v>
      </c>
      <c r="AO40" s="1061"/>
      <c r="AP40" s="1012"/>
      <c r="AQ40" s="1012">
        <f t="shared" si="33"/>
        <v>0</v>
      </c>
      <c r="AR40" s="1062"/>
      <c r="AS40" s="1063"/>
      <c r="AT40" s="1064"/>
      <c r="AU40" s="1065">
        <v>38652</v>
      </c>
      <c r="AV40" s="1066">
        <v>0</v>
      </c>
      <c r="AW40" s="1067"/>
      <c r="AX40" s="1068"/>
      <c r="AY40" s="1067"/>
      <c r="AZ40" s="185"/>
      <c r="BA40" s="185"/>
      <c r="BE40" s="368"/>
      <c r="BF40" s="1011"/>
      <c r="BG40" s="1011"/>
      <c r="BH40" s="1012"/>
      <c r="BI40" s="1012"/>
      <c r="BJ40" s="1012"/>
      <c r="BK40" s="1069"/>
      <c r="BN40" s="185"/>
      <c r="BQ40" s="185"/>
      <c r="BS40" s="368"/>
      <c r="BT40" s="368"/>
      <c r="BU40" s="368"/>
      <c r="CB40" s="371"/>
      <c r="CD40" s="183"/>
    </row>
    <row r="41" spans="1:82">
      <c r="A41" s="1137">
        <v>644</v>
      </c>
      <c r="B41" s="1138" t="s">
        <v>1403</v>
      </c>
      <c r="C41" s="1040"/>
      <c r="D41" s="1041"/>
      <c r="E41" s="1139"/>
      <c r="F41" s="1140"/>
      <c r="G41" s="1043"/>
      <c r="H41" s="1044"/>
      <c r="I41" s="1043"/>
      <c r="J41" s="1045"/>
      <c r="K41" s="1046"/>
      <c r="L41" s="1047"/>
      <c r="M41" s="1048"/>
      <c r="N41" s="1049"/>
      <c r="O41" s="1050"/>
      <c r="P41" s="1050"/>
      <c r="Q41" s="1050"/>
      <c r="R41" s="1051"/>
      <c r="S41" s="1050"/>
      <c r="T41" s="1012"/>
      <c r="U41" s="1012"/>
      <c r="V41" s="1052"/>
      <c r="W41" s="452"/>
      <c r="X41" s="452"/>
      <c r="Y41" s="1053"/>
      <c r="Z41" s="1114"/>
      <c r="AA41" s="1114"/>
      <c r="AB41" s="1114"/>
      <c r="AC41" s="1129"/>
      <c r="AD41" s="562"/>
      <c r="AE41" s="1109">
        <v>770260</v>
      </c>
      <c r="AF41" s="563">
        <f t="shared" si="11"/>
        <v>770260</v>
      </c>
      <c r="AG41" s="1059"/>
      <c r="AH41" s="1012"/>
      <c r="AI41" s="1131"/>
      <c r="AJ41" s="1132">
        <v>2095717.49</v>
      </c>
      <c r="AK41" s="1059"/>
      <c r="AL41" s="1012"/>
      <c r="AM41" s="1133"/>
      <c r="AN41" s="1012">
        <f t="shared" si="32"/>
        <v>-2095717.49</v>
      </c>
      <c r="AO41" s="1061">
        <f>AJ41*0.5</f>
        <v>1047858.745</v>
      </c>
      <c r="AP41" s="1012">
        <v>1532212.84</v>
      </c>
      <c r="AQ41" s="1012">
        <f t="shared" si="33"/>
        <v>484354.09500000009</v>
      </c>
      <c r="AR41" s="1062">
        <f>AO41*0.9</f>
        <v>943072.87049999996</v>
      </c>
      <c r="AS41" s="1063">
        <f>AR41*0.5</f>
        <v>471536.43524999998</v>
      </c>
      <c r="AT41" s="1064">
        <v>750000</v>
      </c>
      <c r="AU41" s="1065">
        <v>1426000</v>
      </c>
      <c r="AV41" s="1066">
        <v>2000000</v>
      </c>
      <c r="AW41" s="1067">
        <f>AT41</f>
        <v>750000</v>
      </c>
      <c r="AX41" s="1068">
        <v>2000000</v>
      </c>
      <c r="AY41" s="1067">
        <v>2000000</v>
      </c>
      <c r="AZ41" s="185"/>
      <c r="BA41" s="185"/>
      <c r="BE41" s="368"/>
      <c r="BF41" s="1011"/>
      <c r="BG41" s="1011"/>
      <c r="BH41" s="1012"/>
      <c r="BI41" s="1012"/>
      <c r="BJ41" s="1012"/>
      <c r="BK41" s="1069"/>
      <c r="BN41" s="185"/>
      <c r="BQ41" s="185"/>
      <c r="BS41" s="368"/>
      <c r="BT41" s="368"/>
      <c r="BU41" s="368"/>
      <c r="CB41" s="371"/>
      <c r="CD41" s="183"/>
    </row>
    <row r="42" spans="1:82">
      <c r="A42" s="1124" t="s">
        <v>1430</v>
      </c>
      <c r="B42" s="1125" t="s">
        <v>1431</v>
      </c>
      <c r="C42" s="1040">
        <v>0</v>
      </c>
      <c r="D42" s="1041">
        <v>0</v>
      </c>
      <c r="E42" s="1126">
        <v>3605.6</v>
      </c>
      <c r="F42" s="1127">
        <f t="shared" si="5"/>
        <v>3605.6</v>
      </c>
      <c r="G42" s="1043">
        <v>0</v>
      </c>
      <c r="H42" s="1044">
        <v>4000</v>
      </c>
      <c r="I42" s="1043">
        <f t="shared" si="28"/>
        <v>4000</v>
      </c>
      <c r="J42" s="1045">
        <v>0</v>
      </c>
      <c r="K42" s="1046">
        <v>10000</v>
      </c>
      <c r="L42" s="1047">
        <v>4202.4000000000005</v>
      </c>
      <c r="M42" s="1048">
        <f t="shared" si="6"/>
        <v>4412.5200000000004</v>
      </c>
      <c r="N42" s="1049">
        <v>0</v>
      </c>
      <c r="O42" s="1050">
        <f t="shared" si="7"/>
        <v>0</v>
      </c>
      <c r="P42" s="1050">
        <v>0</v>
      </c>
      <c r="Q42" s="1050">
        <f t="shared" si="8"/>
        <v>0</v>
      </c>
      <c r="R42" s="1051"/>
      <c r="S42" s="1050">
        <f t="shared" si="9"/>
        <v>0</v>
      </c>
      <c r="T42" s="1012">
        <v>0</v>
      </c>
      <c r="U42" s="1012">
        <v>0</v>
      </c>
      <c r="V42" s="1052">
        <f>O42*1.05</f>
        <v>0</v>
      </c>
      <c r="W42" s="452">
        <f>'[4]1111-střednědobý výhled'!Y39</f>
        <v>0</v>
      </c>
      <c r="X42" s="452"/>
      <c r="Y42" s="1053">
        <f>T42*1.05</f>
        <v>0</v>
      </c>
      <c r="Z42" s="1114">
        <v>0</v>
      </c>
      <c r="AA42" s="1114">
        <f t="shared" si="30"/>
        <v>-734</v>
      </c>
      <c r="AB42" s="1114">
        <f>Y42-Z42</f>
        <v>0</v>
      </c>
      <c r="AC42" s="1129"/>
      <c r="AD42" s="562"/>
      <c r="AE42" s="1109">
        <v>0</v>
      </c>
      <c r="AF42" s="563">
        <f t="shared" si="11"/>
        <v>0</v>
      </c>
      <c r="AG42" s="1059"/>
      <c r="AH42" s="1012"/>
      <c r="AI42" s="1131"/>
      <c r="AJ42" s="1132"/>
      <c r="AK42" s="1059"/>
      <c r="AL42" s="1012"/>
      <c r="AM42" s="1133"/>
      <c r="AN42" s="1012">
        <f t="shared" si="32"/>
        <v>0</v>
      </c>
      <c r="AO42" s="1061">
        <v>0</v>
      </c>
      <c r="AP42" s="1012">
        <v>0</v>
      </c>
      <c r="AQ42" s="1012">
        <v>0</v>
      </c>
      <c r="AR42" s="1062">
        <v>0</v>
      </c>
      <c r="AS42" s="1063">
        <v>0</v>
      </c>
      <c r="AT42" s="1064">
        <v>0</v>
      </c>
      <c r="AU42" s="1065">
        <v>39479</v>
      </c>
      <c r="AV42" s="1066">
        <v>0</v>
      </c>
      <c r="AW42" s="1067">
        <v>0</v>
      </c>
      <c r="AX42" s="1068">
        <v>0</v>
      </c>
      <c r="AY42" s="1067">
        <v>0</v>
      </c>
      <c r="AZ42" s="185"/>
      <c r="BA42" s="185"/>
      <c r="BE42" s="368"/>
      <c r="BF42" s="1011"/>
      <c r="BG42" s="1011"/>
      <c r="BH42" s="1012"/>
      <c r="BI42" s="1012"/>
      <c r="BJ42" s="1012"/>
      <c r="BK42" s="1069"/>
      <c r="BN42" s="185"/>
      <c r="BQ42" s="185"/>
      <c r="BS42" s="368"/>
      <c r="BT42" s="368"/>
      <c r="BU42" s="368"/>
      <c r="CB42" s="371"/>
      <c r="CD42" s="183"/>
    </row>
    <row r="43" spans="1:82">
      <c r="A43" s="565" t="s">
        <v>1432</v>
      </c>
      <c r="B43" s="566" t="s">
        <v>1433</v>
      </c>
      <c r="C43" s="567">
        <v>3000</v>
      </c>
      <c r="D43" s="475">
        <v>3000</v>
      </c>
      <c r="E43" s="568">
        <v>20000</v>
      </c>
      <c r="F43" s="569">
        <f t="shared" si="5"/>
        <v>17000</v>
      </c>
      <c r="G43" s="477">
        <v>3000</v>
      </c>
      <c r="H43" s="478">
        <v>20000</v>
      </c>
      <c r="I43" s="477">
        <f t="shared" si="28"/>
        <v>17000</v>
      </c>
      <c r="J43" s="570">
        <v>0</v>
      </c>
      <c r="K43" s="480">
        <v>20000</v>
      </c>
      <c r="L43" s="481">
        <v>21012</v>
      </c>
      <c r="M43" s="482">
        <f t="shared" si="6"/>
        <v>22062.600000000002</v>
      </c>
      <c r="N43" s="483">
        <v>0</v>
      </c>
      <c r="O43" s="484">
        <f t="shared" si="7"/>
        <v>0</v>
      </c>
      <c r="P43" s="484">
        <v>0</v>
      </c>
      <c r="Q43" s="484">
        <f t="shared" si="8"/>
        <v>0</v>
      </c>
      <c r="R43" s="485"/>
      <c r="S43" s="484">
        <f t="shared" si="9"/>
        <v>0</v>
      </c>
      <c r="T43" s="486">
        <v>0</v>
      </c>
      <c r="U43" s="486">
        <v>0</v>
      </c>
      <c r="V43" s="487">
        <f>O43*1.05</f>
        <v>0</v>
      </c>
      <c r="W43" s="488">
        <f>'[4]1111-střednědobý výhled'!Y40</f>
        <v>0</v>
      </c>
      <c r="X43" s="488"/>
      <c r="Y43" s="471">
        <f>T43*1.05</f>
        <v>0</v>
      </c>
      <c r="Z43" s="571">
        <v>228860</v>
      </c>
      <c r="AA43" s="571">
        <f t="shared" si="30"/>
        <v>228126</v>
      </c>
      <c r="AB43" s="571">
        <f>Y43-Z43</f>
        <v>-228860</v>
      </c>
      <c r="AC43" s="572"/>
      <c r="AD43" s="573"/>
      <c r="AE43" s="455">
        <v>2178106.36</v>
      </c>
      <c r="AF43" s="563">
        <f t="shared" si="11"/>
        <v>2178106.36</v>
      </c>
      <c r="AG43" s="1059"/>
      <c r="AH43" s="1012"/>
      <c r="AI43" s="1131"/>
      <c r="AJ43" s="1132">
        <v>40000</v>
      </c>
      <c r="AK43" s="1059"/>
      <c r="AL43" s="1012"/>
      <c r="AM43" s="1133"/>
      <c r="AN43" s="1012">
        <f t="shared" si="32"/>
        <v>-40000</v>
      </c>
      <c r="AO43" s="1061">
        <v>0</v>
      </c>
      <c r="AP43" s="1012">
        <v>1009983</v>
      </c>
      <c r="AQ43" s="1012">
        <f t="shared" si="33"/>
        <v>1009983</v>
      </c>
      <c r="AR43" s="1062">
        <v>0</v>
      </c>
      <c r="AS43" s="1063">
        <v>0</v>
      </c>
      <c r="AT43" s="1064">
        <v>40000</v>
      </c>
      <c r="AU43" s="1065">
        <v>150401</v>
      </c>
      <c r="AV43" s="1066">
        <f>AU43</f>
        <v>150401</v>
      </c>
      <c r="AW43" s="1067">
        <v>40000</v>
      </c>
      <c r="AX43" s="1068">
        <v>350000</v>
      </c>
      <c r="AY43" s="1067">
        <v>400000</v>
      </c>
      <c r="AZ43" s="185"/>
      <c r="BA43" s="185"/>
      <c r="BE43" s="368"/>
      <c r="BF43" s="1011"/>
      <c r="BG43" s="1011"/>
      <c r="BH43" s="1012"/>
      <c r="BI43" s="1012"/>
      <c r="BJ43" s="1012"/>
      <c r="BK43" s="1069"/>
      <c r="BN43" s="185"/>
      <c r="BQ43" s="185"/>
      <c r="BS43" s="368"/>
      <c r="BT43" s="368"/>
      <c r="BU43" s="368"/>
      <c r="CB43" s="371"/>
      <c r="CD43" s="183"/>
    </row>
    <row r="44" spans="1:82" ht="15" thickBot="1">
      <c r="A44" s="574" t="s">
        <v>1434</v>
      </c>
      <c r="B44" s="575" t="s">
        <v>1435</v>
      </c>
      <c r="C44" s="576">
        <v>65764371</v>
      </c>
      <c r="D44" s="577">
        <v>75767148</v>
      </c>
      <c r="E44" s="578">
        <v>70556385.950000003</v>
      </c>
      <c r="F44" s="1127">
        <f t="shared" si="5"/>
        <v>4792014.950000003</v>
      </c>
      <c r="G44" s="1043">
        <v>75767148</v>
      </c>
      <c r="H44" s="1044">
        <v>85236632</v>
      </c>
      <c r="I44" s="1043">
        <f t="shared" si="28"/>
        <v>9469484</v>
      </c>
      <c r="J44" s="1045">
        <v>87848392</v>
      </c>
      <c r="K44" s="1046">
        <f>K53</f>
        <v>89870163.600000009</v>
      </c>
      <c r="L44" s="1128">
        <f>L53</f>
        <v>94363671.780000016</v>
      </c>
      <c r="M44" s="1048">
        <f t="shared" si="6"/>
        <v>99081855.369000018</v>
      </c>
      <c r="N44" s="1049">
        <v>95724736</v>
      </c>
      <c r="O44" s="1050">
        <f t="shared" si="7"/>
        <v>100510972.8</v>
      </c>
      <c r="P44" s="1050" t="e">
        <f>'[3]Výsledovka 2020 1111'!#REF!</f>
        <v>#REF!</v>
      </c>
      <c r="Q44" s="1050" t="e">
        <f t="shared" si="8"/>
        <v>#REF!</v>
      </c>
      <c r="R44" s="1051" t="e">
        <f>P44/O44</f>
        <v>#REF!</v>
      </c>
      <c r="S44" s="1050">
        <f t="shared" si="9"/>
        <v>100510972.8</v>
      </c>
      <c r="T44" s="1012">
        <f>138179484-T45</f>
        <v>130479902</v>
      </c>
      <c r="U44" s="1012">
        <v>138179484.86000001</v>
      </c>
      <c r="V44" s="1013" t="e">
        <f>#REF!*1.025</f>
        <v>#REF!</v>
      </c>
      <c r="W44" s="1013">
        <f>'[4]Rozpočet 2021'!L12</f>
        <v>103413967</v>
      </c>
      <c r="X44" s="1052"/>
      <c r="Y44" s="1141">
        <f>W44+BE20+7186199</f>
        <v>110600166</v>
      </c>
      <c r="Z44" s="1142">
        <v>150734288</v>
      </c>
      <c r="AA44" s="1142"/>
      <c r="AB44" s="1142"/>
      <c r="AC44" s="1143"/>
      <c r="AD44" s="562">
        <f>[6]Výnosy!O33</f>
        <v>144220605</v>
      </c>
      <c r="AE44" s="579">
        <v>186465323.25</v>
      </c>
      <c r="AF44" s="580">
        <f>AE43-AD44</f>
        <v>-142042498.63999999</v>
      </c>
      <c r="AG44" s="1144">
        <f>AD44*1</f>
        <v>144220605</v>
      </c>
      <c r="AH44" s="1119">
        <f>[9]SDV!$AH$44</f>
        <v>172255605</v>
      </c>
      <c r="AI44" s="1143"/>
      <c r="AJ44" s="1132">
        <v>172322303.08000001</v>
      </c>
      <c r="AK44" s="1144">
        <f>AH44*1.02</f>
        <v>175700717.09999999</v>
      </c>
      <c r="AL44" s="1119">
        <f>AK44*1.02</f>
        <v>179214731.442</v>
      </c>
      <c r="AM44" s="1133">
        <f t="shared" si="31"/>
        <v>-3.8720412029561021E-4</v>
      </c>
      <c r="AN44" s="1012">
        <f t="shared" si="32"/>
        <v>-66698.080000013113</v>
      </c>
      <c r="AO44" s="1061">
        <f>'[6]Výnosy srovnání'!G47</f>
        <v>184742475.56859505</v>
      </c>
      <c r="AP44" s="1119">
        <v>174712448.84999999</v>
      </c>
      <c r="AQ44" s="1012">
        <f t="shared" si="33"/>
        <v>-10030026.718595058</v>
      </c>
      <c r="AR44" s="1062">
        <f>AO44-5600000</f>
        <v>179142475.56859505</v>
      </c>
      <c r="AS44" s="1063">
        <f>AO44-9600000+3000000</f>
        <v>178142475.56859505</v>
      </c>
      <c r="AT44" s="1064">
        <f>'[6]Výnosy srovnání'!C47+2000000</f>
        <v>199012788.45999998</v>
      </c>
      <c r="AU44" s="1065">
        <v>204433814.81</v>
      </c>
      <c r="AV44" s="1066">
        <f>AU44</f>
        <v>204433814.81</v>
      </c>
      <c r="AW44" s="1067">
        <f>AT44*1.022</f>
        <v>203391069.80611998</v>
      </c>
      <c r="AX44" s="1068">
        <f>AW44*1.02</f>
        <v>207458891.20224237</v>
      </c>
      <c r="AY44" s="1067">
        <f>AX44*1.02</f>
        <v>211608069.02628723</v>
      </c>
      <c r="AZ44" s="185"/>
      <c r="BA44" s="185"/>
      <c r="BE44" s="368"/>
      <c r="BF44" s="1011"/>
      <c r="BG44" s="1011"/>
      <c r="BH44" s="1012"/>
      <c r="BI44" s="1012"/>
      <c r="BJ44" s="1012"/>
      <c r="BK44" s="1069"/>
      <c r="BN44" s="185"/>
      <c r="BQ44" s="185"/>
      <c r="BS44" s="368"/>
      <c r="BT44" s="368"/>
      <c r="BU44" s="368"/>
      <c r="CB44" s="371"/>
      <c r="CD44" s="183"/>
    </row>
    <row r="45" spans="1:82" ht="15" thickBot="1">
      <c r="A45" s="581">
        <v>691</v>
      </c>
      <c r="B45" s="582" t="str">
        <f>'[3]Rozpočet 2021'!A36</f>
        <v>Fond umělecké činnosti /RUV pro umělecké školy/</v>
      </c>
      <c r="C45" s="583"/>
      <c r="D45" s="584"/>
      <c r="E45" s="585"/>
      <c r="F45" s="586"/>
      <c r="G45" s="586"/>
      <c r="H45" s="587"/>
      <c r="I45" s="586"/>
      <c r="J45" s="588"/>
      <c r="K45" s="589"/>
      <c r="L45" s="590"/>
      <c r="M45" s="591"/>
      <c r="N45" s="592"/>
      <c r="O45" s="593"/>
      <c r="P45" s="593"/>
      <c r="Q45" s="593"/>
      <c r="R45" s="594"/>
      <c r="S45" s="593"/>
      <c r="T45" s="595">
        <f>'[4]Rozpočet 2021'!H13</f>
        <v>7699582</v>
      </c>
      <c r="U45" s="595">
        <v>0</v>
      </c>
      <c r="V45" s="596" t="e">
        <f>#REF!</f>
        <v>#REF!</v>
      </c>
      <c r="W45" s="372">
        <f>'[4]Rozpočet 2021'!L13</f>
        <v>7186199.3819662295</v>
      </c>
      <c r="X45" s="372"/>
      <c r="Y45" s="457"/>
      <c r="Z45" s="597"/>
      <c r="AA45" s="597"/>
      <c r="AB45" s="597"/>
      <c r="AC45" s="533"/>
      <c r="AD45" s="598"/>
      <c r="AE45" s="599"/>
      <c r="AF45" s="600">
        <f t="shared" si="11"/>
        <v>0</v>
      </c>
      <c r="AG45" s="497"/>
      <c r="AH45" s="486"/>
      <c r="AI45" s="601"/>
      <c r="AJ45" s="602"/>
      <c r="AK45" s="497"/>
      <c r="AL45" s="486"/>
      <c r="AM45" s="603"/>
      <c r="AN45" s="486">
        <f t="shared" si="32"/>
        <v>0</v>
      </c>
      <c r="AO45" s="604"/>
      <c r="AP45" s="486"/>
      <c r="AQ45" s="1012">
        <f t="shared" si="33"/>
        <v>0</v>
      </c>
      <c r="AR45" s="605"/>
      <c r="AS45" s="606"/>
      <c r="AT45" s="705"/>
      <c r="AU45" s="712"/>
      <c r="AV45" s="724"/>
      <c r="AW45" s="725"/>
      <c r="AX45" s="726"/>
      <c r="AY45" s="1067"/>
      <c r="AZ45" s="185"/>
      <c r="BA45" s="185"/>
      <c r="BE45" s="368"/>
      <c r="BF45" s="1011"/>
      <c r="BG45" s="1011"/>
      <c r="BH45" s="1012"/>
      <c r="BI45" s="1012"/>
      <c r="BJ45" s="1012"/>
      <c r="BK45" s="1069"/>
      <c r="BN45" s="185"/>
      <c r="BQ45" s="185"/>
      <c r="BS45" s="368"/>
      <c r="BT45" s="368"/>
      <c r="BU45" s="368"/>
      <c r="CB45" s="371"/>
      <c r="CD45" s="183"/>
    </row>
    <row r="46" spans="1:82" ht="15" thickBot="1">
      <c r="A46" s="607" t="s">
        <v>1436</v>
      </c>
      <c r="B46" s="499"/>
      <c r="C46" s="501">
        <f t="shared" ref="C46:H46" si="35">SUM(C34:C44)</f>
        <v>65868449.590000004</v>
      </c>
      <c r="D46" s="502">
        <f t="shared" si="35"/>
        <v>75855148</v>
      </c>
      <c r="E46" s="503">
        <f t="shared" si="35"/>
        <v>75569517.420000002</v>
      </c>
      <c r="F46" s="502">
        <f t="shared" si="35"/>
        <v>9701067.8300000019</v>
      </c>
      <c r="G46" s="502">
        <f t="shared" si="35"/>
        <v>75855148</v>
      </c>
      <c r="H46" s="504">
        <f t="shared" si="35"/>
        <v>85590632</v>
      </c>
      <c r="I46" s="505">
        <f t="shared" si="28"/>
        <v>9735484</v>
      </c>
      <c r="J46" s="608">
        <f>SUM(J34:J44)</f>
        <v>88432100</v>
      </c>
      <c r="K46" s="507">
        <f>SUM(K34:K44)</f>
        <v>90230163.600000009</v>
      </c>
      <c r="L46" s="609">
        <f>SUM(L34:L44)</f>
        <v>94736634.780000016</v>
      </c>
      <c r="M46" s="509">
        <f t="shared" si="6"/>
        <v>99473466.519000024</v>
      </c>
      <c r="N46" s="510">
        <f>SUM(N34:N44)</f>
        <v>96055736</v>
      </c>
      <c r="O46" s="511">
        <f t="shared" si="7"/>
        <v>100858522.8</v>
      </c>
      <c r="P46" s="511" t="e">
        <f>SUM(P34:P44)</f>
        <v>#REF!</v>
      </c>
      <c r="Q46" s="511" t="e">
        <f t="shared" si="8"/>
        <v>#REF!</v>
      </c>
      <c r="R46" s="512" t="e">
        <f>P46/O46</f>
        <v>#REF!</v>
      </c>
      <c r="S46" s="511">
        <f t="shared" si="9"/>
        <v>100858522.8</v>
      </c>
      <c r="T46" s="513">
        <f>SUM(T33:T45)</f>
        <v>146623281</v>
      </c>
      <c r="U46" s="513">
        <f>SUM(U33:U45)</f>
        <v>146309354.39000002</v>
      </c>
      <c r="V46" s="610" t="e">
        <f>SUM(V33:V45)</f>
        <v>#REF!</v>
      </c>
      <c r="W46" s="514">
        <f>'[4]1111-střednědobý výhled'!Y43</f>
        <v>110600272.029</v>
      </c>
      <c r="X46" s="611"/>
      <c r="Y46" s="612">
        <f>SUM(Y33:Y45)</f>
        <v>112850166</v>
      </c>
      <c r="Z46" s="612">
        <f>SUM(Z33:Z45)</f>
        <v>158240674</v>
      </c>
      <c r="AA46" s="612">
        <f t="shared" ref="AA46:AD46" si="36">SUM(AA33:AA45)</f>
        <v>7499780</v>
      </c>
      <c r="AB46" s="612">
        <f t="shared" si="36"/>
        <v>-5256386</v>
      </c>
      <c r="AC46" s="612">
        <f t="shared" si="36"/>
        <v>0</v>
      </c>
      <c r="AD46" s="613">
        <f t="shared" si="36"/>
        <v>169765837</v>
      </c>
      <c r="AE46" s="614">
        <f>SUM(AE33:AE45)</f>
        <v>206371514.97</v>
      </c>
      <c r="AF46" s="615">
        <f>AE44-AD46</f>
        <v>16699486.25</v>
      </c>
      <c r="AG46" s="616">
        <f>SUM(AG33:AG45)</f>
        <v>159542985</v>
      </c>
      <c r="AH46" s="616">
        <f>SUM(AH33:AH45)</f>
        <v>189740425.8461</v>
      </c>
      <c r="AI46" s="617"/>
      <c r="AJ46" s="618">
        <f>SUM(AJ34:AJ45)</f>
        <v>199176346.82000002</v>
      </c>
      <c r="AK46" s="619">
        <f t="shared" ref="AK46:AL46" si="37">SUM(AK33:AK45)</f>
        <v>200988390.46725249</v>
      </c>
      <c r="AL46" s="620">
        <f t="shared" si="37"/>
        <v>204773233.23659754</v>
      </c>
      <c r="AM46" s="621">
        <f t="shared" si="31"/>
        <v>-4.9730683020357359E-2</v>
      </c>
      <c r="AN46" s="513">
        <f t="shared" si="32"/>
        <v>-9435920.9739000201</v>
      </c>
      <c r="AO46" s="622">
        <f>SUM(AO33:AO45)</f>
        <v>211110334.31359506</v>
      </c>
      <c r="AP46" s="513">
        <f>SUM(AP33:AP45)</f>
        <v>211877422.59999999</v>
      </c>
      <c r="AQ46" s="623">
        <f t="shared" si="33"/>
        <v>767088.28640493751</v>
      </c>
      <c r="AR46" s="624">
        <f t="shared" ref="AR46:AS46" si="38">SUM(AR33:AR45)</f>
        <v>206949748.43909505</v>
      </c>
      <c r="AS46" s="625">
        <f t="shared" si="38"/>
        <v>208631096.00384504</v>
      </c>
      <c r="AT46" s="742">
        <f>SUM(AT34:AT44)</f>
        <v>227472788.45999998</v>
      </c>
      <c r="AU46" s="743">
        <f>SUM(AU34:AU44)</f>
        <v>225710833.08000001</v>
      </c>
      <c r="AV46" s="744">
        <f>SUM(AV34:AV45)</f>
        <v>231128594.54550001</v>
      </c>
      <c r="AW46" s="745">
        <f t="shared" ref="AW46" si="39">SUM(AW34:AW44)</f>
        <v>231453069.80611998</v>
      </c>
      <c r="AX46" s="746">
        <f>SUM(AX34:AX44)</f>
        <v>237286688.87451738</v>
      </c>
      <c r="AY46" s="746">
        <f>SUM(AY34:AY44)</f>
        <v>242081530.58217597</v>
      </c>
      <c r="AZ46" s="185"/>
      <c r="BA46" s="185"/>
      <c r="BE46" s="368"/>
      <c r="BF46" s="1011"/>
      <c r="BG46" s="1011"/>
      <c r="BH46" s="1012"/>
      <c r="BI46" s="1012"/>
      <c r="BJ46" s="1012"/>
      <c r="BK46" s="1069"/>
      <c r="BN46" s="185"/>
      <c r="BQ46" s="185"/>
      <c r="BS46" s="368"/>
      <c r="BT46" s="368"/>
      <c r="BU46" s="368"/>
      <c r="CB46" s="371"/>
      <c r="CD46" s="183"/>
    </row>
    <row r="47" spans="1:82" ht="15" thickBot="1">
      <c r="A47" s="626"/>
      <c r="B47" s="627"/>
      <c r="C47" s="627"/>
      <c r="D47" s="627"/>
      <c r="E47" s="627"/>
      <c r="F47" s="186"/>
      <c r="G47" s="186"/>
      <c r="H47" s="403"/>
      <c r="I47" s="186"/>
      <c r="J47" s="186"/>
      <c r="K47" s="403"/>
      <c r="L47" s="403"/>
      <c r="M47" s="595"/>
      <c r="N47" s="595"/>
      <c r="O47" s="628"/>
      <c r="P47" s="628"/>
      <c r="Q47" s="595"/>
      <c r="R47" s="629"/>
      <c r="S47" s="595"/>
      <c r="T47" s="595"/>
      <c r="U47" s="595"/>
      <c r="V47" s="630"/>
      <c r="W47" s="372"/>
      <c r="X47" s="401"/>
      <c r="Y47" s="457"/>
      <c r="Z47" s="597"/>
      <c r="AA47" s="597"/>
      <c r="AB47" s="597"/>
      <c r="AC47" s="533"/>
      <c r="AD47" s="598"/>
      <c r="AE47" s="599"/>
      <c r="AF47" s="600">
        <f t="shared" si="11"/>
        <v>0</v>
      </c>
      <c r="AG47" s="631"/>
      <c r="AH47" s="628"/>
      <c r="AI47" s="632"/>
      <c r="AJ47" s="534"/>
      <c r="AK47" s="631"/>
      <c r="AL47" s="628"/>
      <c r="AM47" s="633"/>
      <c r="AN47" s="595">
        <f t="shared" si="32"/>
        <v>0</v>
      </c>
      <c r="AO47" s="634"/>
      <c r="AP47" s="628"/>
      <c r="AQ47" s="628"/>
      <c r="AR47" s="635"/>
      <c r="AS47" s="636"/>
      <c r="AT47" s="706"/>
      <c r="AU47" s="713"/>
      <c r="AV47" s="727"/>
      <c r="AW47" s="728"/>
      <c r="AX47" s="729"/>
      <c r="AY47" s="1067"/>
      <c r="AZ47" s="185"/>
      <c r="BA47" s="185"/>
      <c r="BE47" s="368"/>
      <c r="BF47" s="1011"/>
      <c r="BG47" s="1011"/>
      <c r="BH47" s="1012"/>
      <c r="BI47" s="1012"/>
      <c r="BJ47" s="1012"/>
      <c r="BK47" s="1069"/>
      <c r="BN47" s="185"/>
      <c r="BQ47" s="185"/>
      <c r="BS47" s="368"/>
      <c r="BT47" s="368"/>
      <c r="BU47" s="368"/>
      <c r="CB47" s="371"/>
      <c r="CD47" s="183"/>
    </row>
    <row r="48" spans="1:82" ht="15" thickBot="1">
      <c r="A48" s="499" t="s">
        <v>1437</v>
      </c>
      <c r="B48" s="637"/>
      <c r="C48" s="638">
        <f t="shared" ref="C48:H48" si="40">C46-C31</f>
        <v>-2467736.4300000072</v>
      </c>
      <c r="D48" s="639">
        <f t="shared" si="40"/>
        <v>426468</v>
      </c>
      <c r="E48" s="640">
        <f t="shared" si="40"/>
        <v>-305401.76999999583</v>
      </c>
      <c r="F48" s="639">
        <f t="shared" si="40"/>
        <v>2162334.660000002</v>
      </c>
      <c r="G48" s="639">
        <f t="shared" si="40"/>
        <v>1210248</v>
      </c>
      <c r="H48" s="641">
        <f t="shared" si="40"/>
        <v>4990351.6925857663</v>
      </c>
      <c r="I48" s="642">
        <f>H48-G48</f>
        <v>3780103.6925857663</v>
      </c>
      <c r="J48" s="643">
        <f>J52</f>
        <v>1264729</v>
      </c>
      <c r="K48" s="644">
        <f>K46-K31</f>
        <v>1846605.2618443519</v>
      </c>
      <c r="L48" s="645">
        <f>L46-L31</f>
        <v>889426.35826990008</v>
      </c>
      <c r="M48" s="509">
        <f t="shared" si="6"/>
        <v>933897.67618339509</v>
      </c>
      <c r="N48" s="510">
        <f>N46-N31</f>
        <v>3312736</v>
      </c>
      <c r="O48" s="511">
        <f>O46-O31</f>
        <v>3478372.799999997</v>
      </c>
      <c r="P48" s="511" t="e">
        <f>P46-P31</f>
        <v>#REF!</v>
      </c>
      <c r="Q48" s="511" t="e">
        <f t="shared" si="8"/>
        <v>#REF!</v>
      </c>
      <c r="R48" s="512" t="e">
        <f>P48/O48</f>
        <v>#REF!</v>
      </c>
      <c r="S48" s="511">
        <f t="shared" si="9"/>
        <v>3478372.8000000003</v>
      </c>
      <c r="T48" s="513">
        <f>T46-T31</f>
        <v>1556545</v>
      </c>
      <c r="U48" s="513">
        <f t="shared" ref="U48:AL48" si="41">U46-U31</f>
        <v>146309354.39000002</v>
      </c>
      <c r="V48" s="610" t="e">
        <f t="shared" si="41"/>
        <v>#REF!</v>
      </c>
      <c r="W48" s="514">
        <f>'[4]1111-střednědobý výhled'!Y45</f>
        <v>913303.8000163883</v>
      </c>
      <c r="X48" s="611"/>
      <c r="Y48" s="612">
        <f t="shared" si="41"/>
        <v>-18114950.179090813</v>
      </c>
      <c r="Z48" s="612">
        <f t="shared" si="41"/>
        <v>150566778.00999999</v>
      </c>
      <c r="AA48" s="612">
        <f t="shared" si="41"/>
        <v>144892620.00999999</v>
      </c>
      <c r="AB48" s="612">
        <f t="shared" si="41"/>
        <v>118034834.18909082</v>
      </c>
      <c r="AC48" s="612">
        <f t="shared" si="41"/>
        <v>0</v>
      </c>
      <c r="AD48" s="646">
        <f t="shared" si="41"/>
        <v>63216577.080602407</v>
      </c>
      <c r="AE48" s="647">
        <f>AE52</f>
        <v>1754782.7100000083</v>
      </c>
      <c r="AF48" s="615">
        <f t="shared" si="11"/>
        <v>-61461794.370602399</v>
      </c>
      <c r="AG48" s="616">
        <f t="shared" si="41"/>
        <v>59934713.276602387</v>
      </c>
      <c r="AH48" s="513">
        <f t="shared" si="41"/>
        <v>-6956800.3454899788</v>
      </c>
      <c r="AI48" s="617"/>
      <c r="AJ48" s="618">
        <f>AJ46-AJ31</f>
        <v>2861532.6200000346</v>
      </c>
      <c r="AK48" s="616">
        <f t="shared" si="41"/>
        <v>543816.22476500273</v>
      </c>
      <c r="AL48" s="513">
        <f t="shared" si="41"/>
        <v>557868.48752957582</v>
      </c>
      <c r="AM48" s="621">
        <f t="shared" si="31"/>
        <v>1.4113288405430719</v>
      </c>
      <c r="AN48" s="513">
        <f t="shared" si="32"/>
        <v>-9818332.9654900134</v>
      </c>
      <c r="AO48" s="622">
        <f>AO46-AO31</f>
        <v>4664736.246409446</v>
      </c>
      <c r="AP48" s="513">
        <f>AP46-AP31</f>
        <v>196424.08000001311</v>
      </c>
      <c r="AQ48" s="513">
        <f>AQ46-AQ31</f>
        <v>-4468312.1664094329</v>
      </c>
      <c r="AR48" s="648">
        <f t="shared" ref="AR48:AS48" si="42">AR46-AR31</f>
        <v>288743.32130342722</v>
      </c>
      <c r="AS48" s="649">
        <f t="shared" si="42"/>
        <v>29890.577835291624</v>
      </c>
      <c r="AT48" s="707">
        <f>AT46-AT31</f>
        <v>1267015.0136276782</v>
      </c>
      <c r="AU48" s="714">
        <f>AU46-AU31</f>
        <v>4750896.4500000179</v>
      </c>
      <c r="AV48" s="730">
        <f>AV46-AV31</f>
        <v>2918746.2477400005</v>
      </c>
      <c r="AW48" s="731">
        <f t="shared" ref="AW48:CA48" si="43">AW46-AW31</f>
        <v>5632123.8211650252</v>
      </c>
      <c r="AX48" s="732">
        <f t="shared" si="43"/>
        <v>2508977.6168442965</v>
      </c>
      <c r="AY48" s="732">
        <f>AY46-AY31</f>
        <v>2533363.0947324038</v>
      </c>
      <c r="AZ48" s="732">
        <f t="shared" si="43"/>
        <v>0</v>
      </c>
      <c r="BA48" s="732">
        <f t="shared" si="43"/>
        <v>0</v>
      </c>
      <c r="BB48" s="732">
        <f t="shared" si="43"/>
        <v>0</v>
      </c>
      <c r="BC48" s="732">
        <f t="shared" si="43"/>
        <v>0</v>
      </c>
      <c r="BD48" s="732">
        <f t="shared" si="43"/>
        <v>0</v>
      </c>
      <c r="BE48" s="732">
        <f t="shared" si="43"/>
        <v>0</v>
      </c>
      <c r="BF48" s="732">
        <f t="shared" si="43"/>
        <v>0</v>
      </c>
      <c r="BG48" s="732">
        <f t="shared" si="43"/>
        <v>0</v>
      </c>
      <c r="BH48" s="732">
        <f t="shared" si="43"/>
        <v>0</v>
      </c>
      <c r="BI48" s="732">
        <f t="shared" si="43"/>
        <v>0</v>
      </c>
      <c r="BJ48" s="732">
        <f t="shared" si="43"/>
        <v>0</v>
      </c>
      <c r="BK48" s="732">
        <f t="shared" si="43"/>
        <v>0</v>
      </c>
      <c r="BL48" s="732">
        <f t="shared" si="43"/>
        <v>0</v>
      </c>
      <c r="BM48" s="732">
        <f t="shared" si="43"/>
        <v>0</v>
      </c>
      <c r="BN48" s="732">
        <f t="shared" si="43"/>
        <v>0</v>
      </c>
      <c r="BO48" s="732">
        <f t="shared" si="43"/>
        <v>0</v>
      </c>
      <c r="BP48" s="732">
        <f t="shared" si="43"/>
        <v>0</v>
      </c>
      <c r="BQ48" s="732">
        <f t="shared" si="43"/>
        <v>0</v>
      </c>
      <c r="BR48" s="732">
        <f t="shared" si="43"/>
        <v>0</v>
      </c>
      <c r="BS48" s="732">
        <f t="shared" si="43"/>
        <v>0</v>
      </c>
      <c r="BT48" s="732">
        <f t="shared" si="43"/>
        <v>0</v>
      </c>
      <c r="BU48" s="732">
        <f t="shared" si="43"/>
        <v>0</v>
      </c>
      <c r="BV48" s="732">
        <f t="shared" si="43"/>
        <v>0</v>
      </c>
      <c r="BW48" s="732">
        <f t="shared" si="43"/>
        <v>0</v>
      </c>
      <c r="BX48" s="732">
        <f t="shared" si="43"/>
        <v>0</v>
      </c>
      <c r="BY48" s="732">
        <f t="shared" si="43"/>
        <v>0</v>
      </c>
      <c r="BZ48" s="732">
        <f t="shared" si="43"/>
        <v>0</v>
      </c>
      <c r="CA48" s="732">
        <f t="shared" si="43"/>
        <v>0</v>
      </c>
      <c r="CB48" s="371"/>
      <c r="CD48" s="183"/>
    </row>
    <row r="49" spans="1:82">
      <c r="A49" s="626"/>
      <c r="B49" s="627"/>
      <c r="C49" s="627"/>
      <c r="D49" s="627"/>
      <c r="E49" s="627"/>
      <c r="F49" s="186"/>
      <c r="G49" s="186"/>
      <c r="H49" s="403"/>
      <c r="I49" s="186"/>
      <c r="J49" s="186"/>
      <c r="K49" s="403"/>
      <c r="L49" s="403"/>
      <c r="M49" s="650"/>
      <c r="N49" s="650"/>
      <c r="O49" s="651"/>
      <c r="P49" s="651"/>
      <c r="Q49" s="650"/>
      <c r="R49" s="652"/>
      <c r="S49" s="650"/>
      <c r="T49" s="650"/>
      <c r="U49" s="650"/>
      <c r="V49" s="653"/>
      <c r="W49" s="654"/>
      <c r="X49" s="655"/>
      <c r="Y49" s="656"/>
      <c r="Z49" s="656"/>
      <c r="AA49" s="656"/>
      <c r="AB49" s="656"/>
      <c r="AC49" s="656"/>
      <c r="AD49" s="657"/>
      <c r="AE49" s="658"/>
      <c r="AF49" s="600">
        <f t="shared" si="11"/>
        <v>0</v>
      </c>
      <c r="AG49" s="659"/>
      <c r="AH49" s="651"/>
      <c r="AI49" s="660"/>
      <c r="AJ49" s="661"/>
      <c r="AK49" s="659"/>
      <c r="AL49" s="651"/>
      <c r="AM49" s="662"/>
      <c r="AN49" s="650">
        <f t="shared" si="32"/>
        <v>0</v>
      </c>
      <c r="AO49" s="663"/>
      <c r="AP49" s="651"/>
      <c r="AQ49" s="651"/>
      <c r="AR49" s="664"/>
      <c r="AS49" s="665"/>
      <c r="AT49" s="708"/>
      <c r="AU49" s="715"/>
      <c r="AV49" s="733"/>
      <c r="AW49" s="734"/>
      <c r="AX49" s="735"/>
      <c r="AY49" s="1067"/>
      <c r="AZ49" s="185"/>
      <c r="BA49" s="185"/>
      <c r="BE49" s="368"/>
      <c r="BF49" s="1011"/>
      <c r="BG49" s="1011"/>
      <c r="BH49" s="1012"/>
      <c r="BI49" s="1012"/>
      <c r="BJ49" s="1012"/>
      <c r="BK49" s="1069"/>
      <c r="BN49" s="185"/>
      <c r="BQ49" s="185"/>
      <c r="BS49" s="368"/>
      <c r="BT49" s="368"/>
      <c r="BU49" s="368"/>
      <c r="CB49" s="371"/>
      <c r="CD49" s="183"/>
    </row>
    <row r="50" spans="1:82">
      <c r="A50" s="1145" t="s">
        <v>1438</v>
      </c>
      <c r="B50" s="1146"/>
      <c r="C50" s="1147">
        <f t="shared" ref="C50:H50" si="44">C31</f>
        <v>68336186.020000011</v>
      </c>
      <c r="D50" s="1148">
        <f t="shared" si="44"/>
        <v>75428680</v>
      </c>
      <c r="E50" s="1149">
        <f t="shared" si="44"/>
        <v>75874919.189999998</v>
      </c>
      <c r="F50" s="1148">
        <f t="shared" si="44"/>
        <v>7538733.1699999999</v>
      </c>
      <c r="G50" s="1148">
        <f t="shared" si="44"/>
        <v>74644900</v>
      </c>
      <c r="H50" s="1150">
        <f t="shared" si="44"/>
        <v>80600280.307414234</v>
      </c>
      <c r="I50" s="1012">
        <f>H50-G50</f>
        <v>5955380.3074142337</v>
      </c>
      <c r="J50" s="1119">
        <f>J31</f>
        <v>87167371</v>
      </c>
      <c r="K50" s="1151">
        <f>K31</f>
        <v>88383558.338155657</v>
      </c>
      <c r="L50" s="1152">
        <f>L31</f>
        <v>93847208.421730116</v>
      </c>
      <c r="M50" s="1048">
        <f t="shared" si="6"/>
        <v>98539568.842816621</v>
      </c>
      <c r="N50" s="1049">
        <v>92743000</v>
      </c>
      <c r="O50" s="1050">
        <v>97380150</v>
      </c>
      <c r="P50" s="1050" t="e">
        <f>P31</f>
        <v>#REF!</v>
      </c>
      <c r="Q50" s="1050" t="e">
        <f t="shared" si="8"/>
        <v>#REF!</v>
      </c>
      <c r="R50" s="1051" t="e">
        <f>P50/O50</f>
        <v>#REF!</v>
      </c>
      <c r="S50" s="1050">
        <f t="shared" si="9"/>
        <v>97380150</v>
      </c>
      <c r="T50" s="1012">
        <f t="shared" ref="T50:AL50" si="45">T31</f>
        <v>145066736</v>
      </c>
      <c r="U50" s="1012">
        <f t="shared" si="45"/>
        <v>0</v>
      </c>
      <c r="V50" s="1153">
        <f t="shared" si="45"/>
        <v>0</v>
      </c>
      <c r="W50" s="452">
        <f>'[4]1111-střednědobý výhled'!Y47</f>
        <v>109686968.22898361</v>
      </c>
      <c r="X50" s="666"/>
      <c r="Y50" s="1056">
        <f t="shared" si="45"/>
        <v>130965116.17909081</v>
      </c>
      <c r="Z50" s="1056">
        <f t="shared" si="45"/>
        <v>7673895.9900000002</v>
      </c>
      <c r="AA50" s="1056">
        <f t="shared" si="45"/>
        <v>-137392840.00999999</v>
      </c>
      <c r="AB50" s="1056">
        <f t="shared" si="45"/>
        <v>-123291220.18909082</v>
      </c>
      <c r="AC50" s="1056">
        <f t="shared" si="45"/>
        <v>0</v>
      </c>
      <c r="AD50" s="1154">
        <f t="shared" si="45"/>
        <v>106549259.91939759</v>
      </c>
      <c r="AE50" s="667">
        <f>AE31</f>
        <v>204616732.25999999</v>
      </c>
      <c r="AF50" s="456">
        <f t="shared" si="11"/>
        <v>98067472.340602398</v>
      </c>
      <c r="AG50" s="1059">
        <f t="shared" si="45"/>
        <v>99608271.723397613</v>
      </c>
      <c r="AH50" s="1012">
        <f t="shared" si="45"/>
        <v>196697226.19158998</v>
      </c>
      <c r="AI50" s="1131"/>
      <c r="AJ50" s="1132">
        <f>AJ31</f>
        <v>196314814.19999999</v>
      </c>
      <c r="AK50" s="1059">
        <f t="shared" si="45"/>
        <v>200444574.24248749</v>
      </c>
      <c r="AL50" s="1012">
        <f t="shared" si="45"/>
        <v>204215364.74906796</v>
      </c>
      <c r="AM50" s="1133">
        <f t="shared" si="31"/>
        <v>1.9441656549722291E-3</v>
      </c>
      <c r="AN50" s="1012">
        <f t="shared" si="32"/>
        <v>382411.99158999324</v>
      </c>
      <c r="AO50" s="1061">
        <f>AO31</f>
        <v>206445598.06718561</v>
      </c>
      <c r="AP50" s="1012">
        <f>AP31</f>
        <v>211680998.51999998</v>
      </c>
      <c r="AQ50" s="1012">
        <f>AQ31</f>
        <v>5235400.4528143704</v>
      </c>
      <c r="AR50" s="1062">
        <f t="shared" ref="AR50:AY50" si="46">AR31</f>
        <v>206661005.11779162</v>
      </c>
      <c r="AS50" s="1063">
        <f t="shared" si="46"/>
        <v>208601205.42600974</v>
      </c>
      <c r="AT50" s="1155">
        <f t="shared" si="46"/>
        <v>226205773.4463723</v>
      </c>
      <c r="AU50" s="1156">
        <f t="shared" si="46"/>
        <v>220959936.63</v>
      </c>
      <c r="AV50" s="1157">
        <f t="shared" si="46"/>
        <v>228209848.29776001</v>
      </c>
      <c r="AW50" s="1063">
        <f t="shared" si="46"/>
        <v>225820945.98495495</v>
      </c>
      <c r="AX50" s="1063">
        <f t="shared" si="46"/>
        <v>234777711.25767308</v>
      </c>
      <c r="AY50" s="1063">
        <f t="shared" si="46"/>
        <v>239548167.48744357</v>
      </c>
      <c r="AZ50" s="185"/>
      <c r="BA50" s="185"/>
      <c r="BE50" s="368"/>
      <c r="BF50" s="1011"/>
      <c r="BG50" s="1011"/>
      <c r="BH50" s="1012"/>
      <c r="BI50" s="1012"/>
      <c r="BJ50" s="1012"/>
      <c r="BK50" s="1069"/>
      <c r="BN50" s="185"/>
      <c r="BQ50" s="185"/>
      <c r="BS50" s="368"/>
      <c r="BT50" s="368"/>
      <c r="BU50" s="368"/>
      <c r="CB50" s="371"/>
      <c r="CD50" s="183"/>
    </row>
    <row r="51" spans="1:82" ht="15" thickBot="1">
      <c r="A51" s="668" t="s">
        <v>1439</v>
      </c>
      <c r="B51" s="669"/>
      <c r="C51" s="670">
        <f t="shared" ref="C51:H51" si="47">C46</f>
        <v>65868449.590000004</v>
      </c>
      <c r="D51" s="671">
        <f t="shared" si="47"/>
        <v>75855148</v>
      </c>
      <c r="E51" s="672">
        <f t="shared" si="47"/>
        <v>75569517.420000002</v>
      </c>
      <c r="F51" s="671">
        <f t="shared" si="47"/>
        <v>9701067.8300000019</v>
      </c>
      <c r="G51" s="671">
        <f t="shared" si="47"/>
        <v>75855148</v>
      </c>
      <c r="H51" s="673">
        <f t="shared" si="47"/>
        <v>85590632</v>
      </c>
      <c r="I51" s="486">
        <f>H51-G51</f>
        <v>9735484</v>
      </c>
      <c r="J51" s="674">
        <f>J46</f>
        <v>88432100</v>
      </c>
      <c r="K51" s="675">
        <f>K46</f>
        <v>90230163.600000009</v>
      </c>
      <c r="L51" s="676">
        <f>L46</f>
        <v>94736634.780000016</v>
      </c>
      <c r="M51" s="482">
        <f t="shared" si="6"/>
        <v>99473466.519000024</v>
      </c>
      <c r="N51" s="483">
        <v>96055736</v>
      </c>
      <c r="O51" s="484">
        <v>100858523</v>
      </c>
      <c r="P51" s="484" t="e">
        <f>P46</f>
        <v>#REF!</v>
      </c>
      <c r="Q51" s="484" t="e">
        <f t="shared" si="8"/>
        <v>#REF!</v>
      </c>
      <c r="R51" s="485" t="e">
        <f>P51/O51</f>
        <v>#REF!</v>
      </c>
      <c r="S51" s="484">
        <f t="shared" si="9"/>
        <v>100858522.8</v>
      </c>
      <c r="T51" s="486">
        <f t="shared" ref="T51:AG51" si="48">T46</f>
        <v>146623281</v>
      </c>
      <c r="U51" s="486">
        <f t="shared" si="48"/>
        <v>146309354.39000002</v>
      </c>
      <c r="V51" s="677" t="e">
        <f t="shared" si="48"/>
        <v>#REF!</v>
      </c>
      <c r="W51" s="488">
        <f>'[4]1111-střednědobý výhled'!Y48</f>
        <v>110600272.029</v>
      </c>
      <c r="X51" s="678"/>
      <c r="Y51" s="494">
        <f t="shared" si="48"/>
        <v>112850166</v>
      </c>
      <c r="Z51" s="494">
        <f t="shared" si="48"/>
        <v>158240674</v>
      </c>
      <c r="AA51" s="494">
        <f t="shared" si="48"/>
        <v>7499780</v>
      </c>
      <c r="AB51" s="494">
        <f t="shared" si="48"/>
        <v>-5256386</v>
      </c>
      <c r="AC51" s="494">
        <f t="shared" si="48"/>
        <v>0</v>
      </c>
      <c r="AD51" s="679">
        <f t="shared" si="48"/>
        <v>169765837</v>
      </c>
      <c r="AE51" s="680">
        <f>AE46</f>
        <v>206371514.97</v>
      </c>
      <c r="AF51" s="456">
        <f t="shared" si="11"/>
        <v>36605677.969999999</v>
      </c>
      <c r="AG51" s="497">
        <f t="shared" si="48"/>
        <v>159542985</v>
      </c>
      <c r="AH51" s="486">
        <f>AH46</f>
        <v>189740425.8461</v>
      </c>
      <c r="AI51" s="601"/>
      <c r="AJ51" s="602">
        <f>AJ46</f>
        <v>199176346.82000002</v>
      </c>
      <c r="AK51" s="497">
        <f>AK46</f>
        <v>200988390.46725249</v>
      </c>
      <c r="AL51" s="486">
        <f>AL46</f>
        <v>204773233.23659754</v>
      </c>
      <c r="AM51" s="603">
        <f t="shared" si="31"/>
        <v>-4.9730683020357359E-2</v>
      </c>
      <c r="AN51" s="486">
        <f t="shared" si="32"/>
        <v>-9435920.9739000201</v>
      </c>
      <c r="AO51" s="604">
        <f>AO46</f>
        <v>211110334.31359506</v>
      </c>
      <c r="AP51" s="486">
        <f>AP46</f>
        <v>211877422.59999999</v>
      </c>
      <c r="AQ51" s="486">
        <f>AQ46</f>
        <v>767088.28640493751</v>
      </c>
      <c r="AR51" s="605">
        <f t="shared" ref="AR51:AY51" si="49">AR46</f>
        <v>206949748.43909505</v>
      </c>
      <c r="AS51" s="606">
        <f t="shared" si="49"/>
        <v>208631096.00384504</v>
      </c>
      <c r="AT51" s="709">
        <f t="shared" si="49"/>
        <v>227472788.45999998</v>
      </c>
      <c r="AU51" s="716">
        <f t="shared" si="49"/>
        <v>225710833.08000001</v>
      </c>
      <c r="AV51" s="736">
        <f t="shared" si="49"/>
        <v>231128594.54550001</v>
      </c>
      <c r="AW51" s="606">
        <f t="shared" si="49"/>
        <v>231453069.80611998</v>
      </c>
      <c r="AX51" s="606">
        <f t="shared" si="49"/>
        <v>237286688.87451738</v>
      </c>
      <c r="AY51" s="606">
        <f t="shared" si="49"/>
        <v>242081530.58217597</v>
      </c>
      <c r="AZ51" s="185"/>
      <c r="BA51" s="185"/>
      <c r="BE51" s="368"/>
      <c r="BF51" s="1011"/>
      <c r="BG51" s="1011"/>
      <c r="BH51" s="1012"/>
      <c r="BI51" s="1012"/>
      <c r="BJ51" s="1012"/>
      <c r="BK51" s="1069"/>
      <c r="BN51" s="185"/>
      <c r="BQ51" s="185"/>
      <c r="BS51" s="368"/>
      <c r="BT51" s="368"/>
      <c r="BU51" s="368"/>
      <c r="CB51" s="371"/>
      <c r="CD51" s="183"/>
    </row>
    <row r="52" spans="1:82" ht="15" thickBot="1">
      <c r="A52" s="499" t="s">
        <v>1440</v>
      </c>
      <c r="B52" s="637"/>
      <c r="C52" s="638">
        <f t="shared" ref="C52:H52" si="50">C51-C50</f>
        <v>-2467736.4300000072</v>
      </c>
      <c r="D52" s="639">
        <f t="shared" si="50"/>
        <v>426468</v>
      </c>
      <c r="E52" s="640">
        <f t="shared" si="50"/>
        <v>-305401.76999999583</v>
      </c>
      <c r="F52" s="639">
        <f t="shared" si="50"/>
        <v>2162334.660000002</v>
      </c>
      <c r="G52" s="639">
        <f t="shared" si="50"/>
        <v>1210248</v>
      </c>
      <c r="H52" s="641">
        <f t="shared" si="50"/>
        <v>4990351.6925857663</v>
      </c>
      <c r="I52" s="642">
        <f>H52-G52</f>
        <v>3780103.6925857663</v>
      </c>
      <c r="J52" s="643">
        <f>J51-J50</f>
        <v>1264729</v>
      </c>
      <c r="K52" s="644">
        <f>K51-K50</f>
        <v>1846605.2618443519</v>
      </c>
      <c r="L52" s="645">
        <f>L51-L50</f>
        <v>889426.35826990008</v>
      </c>
      <c r="M52" s="509">
        <f t="shared" si="6"/>
        <v>933897.67618339509</v>
      </c>
      <c r="N52" s="510">
        <f>N51-N50</f>
        <v>3312736</v>
      </c>
      <c r="O52" s="511">
        <f>O51-O50</f>
        <v>3478373</v>
      </c>
      <c r="P52" s="511" t="e">
        <f>P48</f>
        <v>#REF!</v>
      </c>
      <c r="Q52" s="511" t="e">
        <f t="shared" si="8"/>
        <v>#REF!</v>
      </c>
      <c r="R52" s="512" t="e">
        <f>P52/O52</f>
        <v>#REF!</v>
      </c>
      <c r="S52" s="511">
        <f t="shared" si="9"/>
        <v>3478372.8000000003</v>
      </c>
      <c r="T52" s="513">
        <f t="shared" ref="T52:AL52" si="51">T51-T50</f>
        <v>1556545</v>
      </c>
      <c r="U52" s="513">
        <f t="shared" si="51"/>
        <v>146309354.39000002</v>
      </c>
      <c r="V52" s="610" t="e">
        <f t="shared" si="51"/>
        <v>#REF!</v>
      </c>
      <c r="W52" s="514">
        <f>'[4]1111-střednědobý výhled'!Y49</f>
        <v>913303.8000163883</v>
      </c>
      <c r="X52" s="611"/>
      <c r="Y52" s="681">
        <f t="shared" si="51"/>
        <v>-18114950.179090813</v>
      </c>
      <c r="Z52" s="681">
        <f t="shared" si="51"/>
        <v>150566778.00999999</v>
      </c>
      <c r="AA52" s="681">
        <f t="shared" si="51"/>
        <v>144892620.00999999</v>
      </c>
      <c r="AB52" s="681">
        <f t="shared" si="51"/>
        <v>118034834.18909082</v>
      </c>
      <c r="AC52" s="681">
        <f t="shared" si="51"/>
        <v>0</v>
      </c>
      <c r="AD52" s="646">
        <f t="shared" si="51"/>
        <v>63216577.080602407</v>
      </c>
      <c r="AE52" s="647">
        <f>AE51-AE50</f>
        <v>1754782.7100000083</v>
      </c>
      <c r="AF52" s="615">
        <f t="shared" si="11"/>
        <v>-61461794.370602399</v>
      </c>
      <c r="AG52" s="682">
        <f t="shared" si="51"/>
        <v>59934713.276602387</v>
      </c>
      <c r="AH52" s="683">
        <f t="shared" si="51"/>
        <v>-6956800.3454899788</v>
      </c>
      <c r="AI52" s="684"/>
      <c r="AJ52" s="685">
        <f>AJ51-AJ50</f>
        <v>2861532.6200000346</v>
      </c>
      <c r="AK52" s="683">
        <f t="shared" si="51"/>
        <v>543816.22476500273</v>
      </c>
      <c r="AL52" s="683">
        <f t="shared" si="51"/>
        <v>557868.48752957582</v>
      </c>
      <c r="AM52" s="621">
        <f t="shared" si="31"/>
        <v>1.4113288405430719</v>
      </c>
      <c r="AN52" s="513">
        <f t="shared" si="32"/>
        <v>-9818332.9654900134</v>
      </c>
      <c r="AO52" s="622">
        <f>AO51-AO50</f>
        <v>4664736.246409446</v>
      </c>
      <c r="AP52" s="513">
        <f>AP51-AP50</f>
        <v>196424.08000001311</v>
      </c>
      <c r="AQ52" s="513">
        <f>AQ51-AQ50</f>
        <v>-4468312.1664094329</v>
      </c>
      <c r="AR52" s="686">
        <f t="shared" ref="AR52:AX52" si="52">AR51-AR50</f>
        <v>288743.32130342722</v>
      </c>
      <c r="AS52" s="625">
        <f t="shared" si="52"/>
        <v>29890.577835291624</v>
      </c>
      <c r="AT52" s="516">
        <f t="shared" si="52"/>
        <v>1267015.0136276782</v>
      </c>
      <c r="AU52" s="717">
        <f t="shared" si="52"/>
        <v>4750896.4500000179</v>
      </c>
      <c r="AV52" s="737">
        <f t="shared" si="52"/>
        <v>2918746.2477400005</v>
      </c>
      <c r="AW52" s="625">
        <f t="shared" si="52"/>
        <v>5632123.8211650252</v>
      </c>
      <c r="AX52" s="625">
        <f t="shared" si="52"/>
        <v>2508977.6168442965</v>
      </c>
      <c r="AY52" s="625">
        <f>AY51-AY50</f>
        <v>2533363.0947324038</v>
      </c>
      <c r="AZ52" s="185"/>
      <c r="BA52" s="185"/>
      <c r="BE52" s="368"/>
      <c r="BF52" s="1011"/>
      <c r="BG52" s="1011"/>
      <c r="BH52" s="1012"/>
      <c r="BI52" s="1012"/>
      <c r="BJ52" s="1012"/>
      <c r="BK52" s="1069"/>
      <c r="BN52" s="185"/>
      <c r="BQ52" s="185"/>
      <c r="BS52" s="368"/>
      <c r="BT52" s="368"/>
      <c r="BU52" s="368"/>
      <c r="CB52" s="371"/>
      <c r="CD52" s="183"/>
    </row>
    <row r="53" spans="1:82" hidden="1">
      <c r="A53" s="687"/>
      <c r="B53" s="688"/>
      <c r="C53" s="688"/>
      <c r="D53" s="689"/>
      <c r="E53" s="186"/>
      <c r="G53" s="186"/>
      <c r="H53" s="403"/>
      <c r="K53" s="403">
        <f>H51*1.05</f>
        <v>89870163.600000009</v>
      </c>
      <c r="L53" s="403">
        <f>K53*1.05</f>
        <v>94363671.780000016</v>
      </c>
      <c r="M53" s="690">
        <f>L53*1.05</f>
        <v>99081855.369000018</v>
      </c>
      <c r="W53" s="654"/>
      <c r="AE53" s="691">
        <f>'[6]VZZ 22'!F67</f>
        <v>2105</v>
      </c>
      <c r="AR53" s="692"/>
      <c r="AS53" s="692"/>
    </row>
    <row r="54" spans="1:82" hidden="1">
      <c r="A54" s="688"/>
      <c r="B54" s="688"/>
      <c r="C54" s="693"/>
      <c r="D54" s="694"/>
      <c r="E54" s="186"/>
      <c r="G54" s="186"/>
      <c r="H54" s="403"/>
      <c r="K54" s="403" t="s">
        <v>1441</v>
      </c>
      <c r="L54" s="403" t="s">
        <v>1441</v>
      </c>
      <c r="M54" s="403" t="s">
        <v>1441</v>
      </c>
      <c r="O54" s="403" t="s">
        <v>1442</v>
      </c>
      <c r="P54" s="403"/>
      <c r="Q54" s="403"/>
      <c r="R54" s="403"/>
      <c r="S54" s="403" t="s">
        <v>1442</v>
      </c>
      <c r="T54" s="695">
        <f>T46-[4]List3!F44</f>
        <v>239357.38999998569</v>
      </c>
      <c r="U54" s="403"/>
      <c r="V54" s="403"/>
      <c r="W54" s="452"/>
      <c r="X54" s="403"/>
      <c r="Y54" s="403"/>
      <c r="Z54" s="403"/>
      <c r="AA54" s="403" t="s">
        <v>1443</v>
      </c>
      <c r="AB54" s="403"/>
      <c r="AC54" s="403"/>
      <c r="AD54" s="403" t="s">
        <v>1444</v>
      </c>
      <c r="AE54" s="695"/>
      <c r="AF54" s="403"/>
      <c r="AG54" s="403"/>
      <c r="AH54" s="403"/>
      <c r="AI54" s="696"/>
      <c r="AJ54" s="696"/>
      <c r="AK54" s="403" t="s">
        <v>1445</v>
      </c>
      <c r="AL54" s="403" t="s">
        <v>1446</v>
      </c>
      <c r="AM54" s="403"/>
      <c r="AN54" s="403"/>
      <c r="AO54" s="403"/>
      <c r="AP54" s="403"/>
      <c r="AQ54" s="403"/>
      <c r="AR54" s="697"/>
      <c r="AS54" s="697"/>
      <c r="AT54" s="403"/>
      <c r="AU54" s="403"/>
      <c r="AV54" s="403"/>
      <c r="AW54" s="403"/>
      <c r="AX54" s="403"/>
      <c r="AY54" s="403"/>
      <c r="AZ54" s="403"/>
      <c r="BA54" s="403"/>
    </row>
    <row r="55" spans="1:82" hidden="1">
      <c r="AE55" s="698" t="s">
        <v>1447</v>
      </c>
      <c r="AR55" s="692"/>
      <c r="AS55" s="692"/>
    </row>
    <row r="56" spans="1:82" hidden="1">
      <c r="W56" s="403"/>
      <c r="AE56" s="185">
        <f>'[6]VZZ 22'!F71</f>
        <v>1755</v>
      </c>
      <c r="AR56" s="692"/>
      <c r="AS56" s="692"/>
    </row>
    <row r="57" spans="1:82" hidden="1">
      <c r="AE57" t="s">
        <v>1448</v>
      </c>
      <c r="AR57" s="692"/>
      <c r="AS57" s="692"/>
    </row>
    <row r="58" spans="1:82" hidden="1">
      <c r="AR58" s="692"/>
      <c r="AS58" s="692"/>
    </row>
    <row r="59" spans="1:82" hidden="1">
      <c r="AJ59" s="699"/>
      <c r="AN59" s="185">
        <f>AO46-AJ46</f>
        <v>11933987.493595034</v>
      </c>
      <c r="AO59">
        <v>24</v>
      </c>
      <c r="AR59" s="692">
        <v>25</v>
      </c>
      <c r="AS59" s="692">
        <v>26</v>
      </c>
      <c r="AT59">
        <f>AT51/AP51</f>
        <v>1.0736056049230041</v>
      </c>
    </row>
    <row r="60" spans="1:82" hidden="1">
      <c r="AQ60" t="s">
        <v>1449</v>
      </c>
      <c r="AT60" s="185">
        <f>AT50-AP50</f>
        <v>14524774.926372319</v>
      </c>
      <c r="AU60" s="185"/>
      <c r="AV60" s="185"/>
      <c r="AW60" s="185">
        <f>AW51-AT51</f>
        <v>3980281.3461199999</v>
      </c>
      <c r="AX60" s="185">
        <f>AX51-AW51</f>
        <v>5833619.0683974028</v>
      </c>
    </row>
    <row r="61" spans="1:82" hidden="1">
      <c r="AQ61" t="s">
        <v>1450</v>
      </c>
      <c r="AT61" s="183">
        <f>AT60/AO51</f>
        <v>6.8801818601624723E-2</v>
      </c>
      <c r="AU61" s="183"/>
      <c r="AV61" s="183"/>
      <c r="AW61" s="183">
        <f>AW51/AT51</f>
        <v>1.0174978351171877</v>
      </c>
      <c r="AX61" s="183">
        <f>AX51/AW51</f>
        <v>1.0252043279153049</v>
      </c>
    </row>
    <row r="62" spans="1:82" hidden="1">
      <c r="AT62">
        <f>AT60/AP50</f>
        <v>6.8616337923217016E-2</v>
      </c>
    </row>
    <row r="65" spans="2:80" ht="15" thickBot="1"/>
    <row r="66" spans="2:80" ht="27">
      <c r="B66" s="749"/>
      <c r="C66" s="750"/>
      <c r="D66" s="750"/>
      <c r="E66" s="750"/>
      <c r="F66" s="750"/>
      <c r="G66" s="750"/>
      <c r="H66" s="750"/>
      <c r="I66" s="750"/>
      <c r="J66" s="750"/>
      <c r="K66" s="750"/>
      <c r="L66" s="750"/>
      <c r="M66" s="750"/>
      <c r="N66" s="750"/>
      <c r="O66" s="750"/>
      <c r="P66" s="750"/>
      <c r="Q66" s="750"/>
      <c r="R66" s="750"/>
      <c r="S66" s="750"/>
      <c r="T66" s="750"/>
      <c r="U66" s="750"/>
      <c r="V66" s="750"/>
      <c r="W66" s="750"/>
      <c r="X66" s="750"/>
      <c r="Y66" s="750"/>
      <c r="Z66" s="750"/>
      <c r="AA66" s="750"/>
      <c r="AB66" s="750"/>
      <c r="AC66" s="750"/>
      <c r="AD66" s="750"/>
      <c r="AE66" s="750"/>
      <c r="AF66" s="750"/>
      <c r="AG66" s="750"/>
      <c r="AH66" s="750"/>
      <c r="AI66" s="751"/>
      <c r="AJ66" s="751"/>
      <c r="AK66" s="750"/>
      <c r="AL66" s="750"/>
      <c r="AM66" s="750"/>
      <c r="AN66" s="750"/>
      <c r="AO66" s="750"/>
      <c r="AP66" s="750"/>
      <c r="AQ66" s="750"/>
      <c r="AR66" s="750"/>
      <c r="AS66" s="750"/>
      <c r="AT66" s="752" t="s">
        <v>1451</v>
      </c>
      <c r="AU66" s="752" t="s">
        <v>2</v>
      </c>
      <c r="AV66" s="752" t="s">
        <v>1372</v>
      </c>
      <c r="AW66" s="752" t="s">
        <v>1372</v>
      </c>
      <c r="AX66" s="752" t="s">
        <v>1373</v>
      </c>
      <c r="AY66" s="753" t="s">
        <v>1374</v>
      </c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185"/>
      <c r="BN66" s="185"/>
      <c r="BO66" s="185"/>
      <c r="BP66" s="185"/>
      <c r="BQ66" s="185"/>
      <c r="BR66" s="185"/>
      <c r="BS66" s="185"/>
      <c r="BT66" s="185"/>
      <c r="BU66" s="185"/>
      <c r="BV66" s="185"/>
      <c r="BW66" s="185"/>
      <c r="BX66" s="185"/>
      <c r="BY66" s="185"/>
      <c r="BZ66" s="185"/>
      <c r="CA66" s="185"/>
      <c r="CB66" s="185"/>
    </row>
    <row r="67" spans="2:80">
      <c r="B67" s="1158" t="s">
        <v>1452</v>
      </c>
      <c r="C67" s="1159">
        <v>68336186.020000011</v>
      </c>
      <c r="D67" s="1159">
        <v>75428680</v>
      </c>
      <c r="E67" s="1159">
        <v>75874919.189999998</v>
      </c>
      <c r="F67" s="1159">
        <v>7538733.1699999999</v>
      </c>
      <c r="G67" s="1159">
        <v>74644900</v>
      </c>
      <c r="H67" s="1159">
        <v>80600280.307414234</v>
      </c>
      <c r="I67" s="1159">
        <v>5955380.3074142337</v>
      </c>
      <c r="J67" s="1159">
        <v>87167371</v>
      </c>
      <c r="K67" s="1159">
        <v>88383558.338155657</v>
      </c>
      <c r="L67" s="1159">
        <v>93847208.421730116</v>
      </c>
      <c r="M67" s="1159">
        <v>98539568.842816621</v>
      </c>
      <c r="N67" s="1159">
        <v>92743000</v>
      </c>
      <c r="O67" s="1159">
        <v>97380150</v>
      </c>
      <c r="P67" s="1159" t="e">
        <v>#REF!</v>
      </c>
      <c r="Q67" s="1159" t="e">
        <v>#REF!</v>
      </c>
      <c r="R67" s="1159" t="e">
        <v>#REF!</v>
      </c>
      <c r="S67" s="1159">
        <v>97380150</v>
      </c>
      <c r="T67" s="1159">
        <v>145066736</v>
      </c>
      <c r="U67" s="1159">
        <v>0</v>
      </c>
      <c r="V67" s="1159">
        <v>0</v>
      </c>
      <c r="W67" s="1159">
        <v>109686968.22898361</v>
      </c>
      <c r="X67" s="1159"/>
      <c r="Y67" s="1159">
        <v>130965116.17909081</v>
      </c>
      <c r="Z67" s="1159">
        <v>7673895.9900000002</v>
      </c>
      <c r="AA67" s="1159">
        <v>-137392840.00999999</v>
      </c>
      <c r="AB67" s="1159">
        <v>-123291220.18909082</v>
      </c>
      <c r="AC67" s="1159">
        <v>0</v>
      </c>
      <c r="AD67" s="1159">
        <v>106549259.91939759</v>
      </c>
      <c r="AE67" s="1159">
        <v>204616732.25999999</v>
      </c>
      <c r="AF67" s="1159">
        <v>98067472.340602398</v>
      </c>
      <c r="AG67" s="1159">
        <v>99608271.723397613</v>
      </c>
      <c r="AH67" s="1159">
        <v>196697226.19158998</v>
      </c>
      <c r="AI67" s="1160"/>
      <c r="AJ67" s="1160">
        <v>196314814.19999999</v>
      </c>
      <c r="AK67" s="1159">
        <v>200444574.24248749</v>
      </c>
      <c r="AL67" s="1159">
        <v>204215364.74906796</v>
      </c>
      <c r="AM67" s="1159">
        <v>1.9441656549722291E-3</v>
      </c>
      <c r="AN67" s="1159">
        <v>382411.99158999324</v>
      </c>
      <c r="AO67" s="1159">
        <v>206445598.06718561</v>
      </c>
      <c r="AP67" s="1159">
        <v>211680998.51999998</v>
      </c>
      <c r="AQ67" s="1159">
        <v>5235400.4528143704</v>
      </c>
      <c r="AR67" s="1159">
        <v>206661005.11779162</v>
      </c>
      <c r="AS67" s="1159">
        <v>208601205.42600974</v>
      </c>
      <c r="AT67" s="1161">
        <v>226205773.4463723</v>
      </c>
      <c r="AU67" s="1161">
        <v>220959936.63</v>
      </c>
      <c r="AV67" s="1161">
        <v>228209848.29776001</v>
      </c>
      <c r="AW67" s="1161">
        <v>225820945.98495495</v>
      </c>
      <c r="AX67" s="1161">
        <f>AX50</f>
        <v>234777711.25767308</v>
      </c>
      <c r="AY67" s="1162">
        <v>239548167.48744357</v>
      </c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5"/>
      <c r="BZ67" s="185"/>
      <c r="CA67" s="185"/>
      <c r="CB67" s="185"/>
    </row>
    <row r="68" spans="2:80">
      <c r="B68" s="1158" t="s">
        <v>1453</v>
      </c>
      <c r="C68" s="1159">
        <v>65868449.590000004</v>
      </c>
      <c r="D68" s="1159">
        <v>75855148</v>
      </c>
      <c r="E68" s="1159">
        <v>75569517.420000002</v>
      </c>
      <c r="F68" s="1159">
        <v>9701067.8300000019</v>
      </c>
      <c r="G68" s="1159">
        <v>75855148</v>
      </c>
      <c r="H68" s="1159">
        <v>85590632</v>
      </c>
      <c r="I68" s="1159">
        <v>9735484</v>
      </c>
      <c r="J68" s="1159">
        <v>88432100</v>
      </c>
      <c r="K68" s="1159">
        <v>90230163.600000009</v>
      </c>
      <c r="L68" s="1159">
        <v>94736634.780000016</v>
      </c>
      <c r="M68" s="1159">
        <v>99473466.519000024</v>
      </c>
      <c r="N68" s="1159">
        <v>96055736</v>
      </c>
      <c r="O68" s="1159">
        <v>100858523</v>
      </c>
      <c r="P68" s="1159" t="e">
        <v>#REF!</v>
      </c>
      <c r="Q68" s="1159" t="e">
        <v>#REF!</v>
      </c>
      <c r="R68" s="1159" t="e">
        <v>#REF!</v>
      </c>
      <c r="S68" s="1159">
        <v>100858522.8</v>
      </c>
      <c r="T68" s="1159">
        <v>146623281</v>
      </c>
      <c r="U68" s="1159">
        <v>146309354.39000002</v>
      </c>
      <c r="V68" s="1159" t="e">
        <v>#REF!</v>
      </c>
      <c r="W68" s="1159">
        <v>110600272.029</v>
      </c>
      <c r="X68" s="1159"/>
      <c r="Y68" s="1159">
        <v>112850166</v>
      </c>
      <c r="Z68" s="1159">
        <v>158240674</v>
      </c>
      <c r="AA68" s="1159">
        <v>7499780</v>
      </c>
      <c r="AB68" s="1159">
        <v>-5256386</v>
      </c>
      <c r="AC68" s="1159">
        <v>0</v>
      </c>
      <c r="AD68" s="1159">
        <v>169765837</v>
      </c>
      <c r="AE68" s="1159">
        <v>206371514.97</v>
      </c>
      <c r="AF68" s="1159">
        <v>36605677.969999999</v>
      </c>
      <c r="AG68" s="1159">
        <v>159542985</v>
      </c>
      <c r="AH68" s="1159">
        <v>189740425.8461</v>
      </c>
      <c r="AI68" s="1160"/>
      <c r="AJ68" s="1160">
        <v>199176346.82000002</v>
      </c>
      <c r="AK68" s="1159">
        <v>200988390.46725249</v>
      </c>
      <c r="AL68" s="1159">
        <v>204773233.23659754</v>
      </c>
      <c r="AM68" s="1159">
        <v>-4.9730683020357359E-2</v>
      </c>
      <c r="AN68" s="1159">
        <v>-9435920.9739000201</v>
      </c>
      <c r="AO68" s="1159">
        <v>211110334.31359506</v>
      </c>
      <c r="AP68" s="1159">
        <v>211877422.59999999</v>
      </c>
      <c r="AQ68" s="1159">
        <v>767088.28640493751</v>
      </c>
      <c r="AR68" s="1159">
        <v>206949748.43909505</v>
      </c>
      <c r="AS68" s="1159">
        <v>208631096.00384504</v>
      </c>
      <c r="AT68" s="1161">
        <v>227472788.45999998</v>
      </c>
      <c r="AU68" s="1161">
        <v>225710833.08000001</v>
      </c>
      <c r="AV68" s="1161">
        <f>AV51</f>
        <v>231128594.54550001</v>
      </c>
      <c r="AW68" s="1161">
        <v>231453069.80611998</v>
      </c>
      <c r="AX68" s="1161">
        <f>AX51</f>
        <v>237286688.87451738</v>
      </c>
      <c r="AY68" s="1162">
        <f>AY51</f>
        <v>242081530.58217597</v>
      </c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5"/>
      <c r="BP68" s="185"/>
      <c r="BQ68" s="185"/>
      <c r="BR68" s="185"/>
      <c r="BS68" s="185"/>
      <c r="BT68" s="185"/>
      <c r="BU68" s="185"/>
      <c r="BV68" s="185"/>
      <c r="BW68" s="185"/>
      <c r="BX68" s="185"/>
      <c r="BY68" s="185"/>
      <c r="BZ68" s="185"/>
      <c r="CA68" s="185"/>
      <c r="CB68" s="185"/>
    </row>
    <row r="69" spans="2:80" ht="15" thickBot="1">
      <c r="B69" s="754" t="s">
        <v>1454</v>
      </c>
      <c r="C69" s="755">
        <v>-2467736.4300000072</v>
      </c>
      <c r="D69" s="755">
        <v>426468</v>
      </c>
      <c r="E69" s="755">
        <v>-305401.76999999583</v>
      </c>
      <c r="F69" s="755">
        <v>2162334.660000002</v>
      </c>
      <c r="G69" s="755">
        <v>1210248</v>
      </c>
      <c r="H69" s="755">
        <v>4990351.6925857663</v>
      </c>
      <c r="I69" s="755">
        <v>3780103.6925857663</v>
      </c>
      <c r="J69" s="755">
        <v>1264729</v>
      </c>
      <c r="K69" s="755">
        <v>1846605.2618443519</v>
      </c>
      <c r="L69" s="755">
        <v>889426.35826990008</v>
      </c>
      <c r="M69" s="755">
        <v>933897.67618339509</v>
      </c>
      <c r="N69" s="755">
        <v>3312736</v>
      </c>
      <c r="O69" s="755">
        <v>3478373</v>
      </c>
      <c r="P69" s="755" t="e">
        <v>#REF!</v>
      </c>
      <c r="Q69" s="755" t="e">
        <v>#REF!</v>
      </c>
      <c r="R69" s="755" t="e">
        <v>#REF!</v>
      </c>
      <c r="S69" s="755">
        <v>3478372.8000000003</v>
      </c>
      <c r="T69" s="755">
        <v>1556545</v>
      </c>
      <c r="U69" s="755">
        <v>146309354.39000002</v>
      </c>
      <c r="V69" s="755" t="e">
        <v>#REF!</v>
      </c>
      <c r="W69" s="755">
        <v>913303.8000163883</v>
      </c>
      <c r="X69" s="755"/>
      <c r="Y69" s="755">
        <v>-18114950.179090813</v>
      </c>
      <c r="Z69" s="755">
        <v>150566778.00999999</v>
      </c>
      <c r="AA69" s="755">
        <v>144892620.00999999</v>
      </c>
      <c r="AB69" s="755">
        <v>118034834.18909082</v>
      </c>
      <c r="AC69" s="755">
        <v>0</v>
      </c>
      <c r="AD69" s="755">
        <v>63216577.080602407</v>
      </c>
      <c r="AE69" s="755">
        <v>1754782.7100000083</v>
      </c>
      <c r="AF69" s="755">
        <v>-61461794.370602399</v>
      </c>
      <c r="AG69" s="755">
        <v>59934713.276602387</v>
      </c>
      <c r="AH69" s="755">
        <v>-6956800.3454899788</v>
      </c>
      <c r="AI69" s="756"/>
      <c r="AJ69" s="756">
        <v>2861532.6200000346</v>
      </c>
      <c r="AK69" s="755">
        <v>543816.22476500273</v>
      </c>
      <c r="AL69" s="755">
        <v>557868.48752957582</v>
      </c>
      <c r="AM69" s="755">
        <v>1.4113288405430719</v>
      </c>
      <c r="AN69" s="755">
        <v>-9818332.9654900134</v>
      </c>
      <c r="AO69" s="755">
        <v>4664736.246409446</v>
      </c>
      <c r="AP69" s="755">
        <v>196424.08000001311</v>
      </c>
      <c r="AQ69" s="755">
        <v>-4468312.1664094329</v>
      </c>
      <c r="AR69" s="755">
        <v>288743.32130342722</v>
      </c>
      <c r="AS69" s="755">
        <v>29890.577835291624</v>
      </c>
      <c r="AT69" s="747">
        <v>1267015.0136276782</v>
      </c>
      <c r="AU69" s="747">
        <v>4750896.4500000179</v>
      </c>
      <c r="AV69" s="747">
        <f>AV68-AV67</f>
        <v>2918746.2477400005</v>
      </c>
      <c r="AW69" s="747">
        <v>5632123.8211650252</v>
      </c>
      <c r="AX69" s="747">
        <f>AX68-AX67</f>
        <v>2508977.6168442965</v>
      </c>
      <c r="AY69" s="748">
        <f>AY68-AY67</f>
        <v>2533363.0947324038</v>
      </c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  <c r="BN69" s="185"/>
      <c r="BO69" s="185"/>
      <c r="BP69" s="185"/>
      <c r="BQ69" s="185"/>
      <c r="BR69" s="185"/>
      <c r="BS69" s="185"/>
      <c r="BT69" s="185"/>
      <c r="BU69" s="185"/>
      <c r="BV69" s="185"/>
      <c r="BW69" s="185"/>
      <c r="BX69" s="185"/>
      <c r="BY69" s="185"/>
      <c r="BZ69" s="185"/>
      <c r="CA69" s="185"/>
      <c r="CB69" s="185"/>
    </row>
    <row r="70" spans="2:80"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5"/>
      <c r="BL70" s="185"/>
      <c r="BM70" s="185"/>
      <c r="BN70" s="185"/>
      <c r="BO70" s="185"/>
      <c r="BP70" s="185"/>
      <c r="BQ70" s="185"/>
      <c r="BR70" s="185"/>
      <c r="BS70" s="185"/>
      <c r="BT70" s="185"/>
      <c r="BU70" s="185"/>
      <c r="BV70" s="185"/>
      <c r="BW70" s="185"/>
      <c r="BX70" s="185"/>
      <c r="BY70" s="185"/>
      <c r="BZ70" s="185"/>
      <c r="CA70" s="185"/>
      <c r="CB70" s="185"/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503B334401EC489A543AF690B671B5" ma:contentTypeVersion="15" ma:contentTypeDescription="Vytvoří nový dokument" ma:contentTypeScope="" ma:versionID="9962181a8eb8814a89d149bbdd98dda7">
  <xsd:schema xmlns:xsd="http://www.w3.org/2001/XMLSchema" xmlns:xs="http://www.w3.org/2001/XMLSchema" xmlns:p="http://schemas.microsoft.com/office/2006/metadata/properties" xmlns:ns2="d55c5270-d53f-47f4-99ea-b68fe4a3d12a" xmlns:ns3="8f259d5f-67d9-4ba1-82b4-3d2f7f61f37a" targetNamespace="http://schemas.microsoft.com/office/2006/metadata/properties" ma:root="true" ma:fieldsID="f2211d0eba13855550086c017dedfe57" ns2:_="" ns3:_="">
    <xsd:import namespace="d55c5270-d53f-47f4-99ea-b68fe4a3d12a"/>
    <xsd:import namespace="8f259d5f-67d9-4ba1-82b4-3d2f7f61f3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c5270-d53f-47f4-99ea-b68fe4a3d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6b65d3ea-0971-4b47-92d7-2077c2970f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59d5f-67d9-4ba1-82b4-3d2f7f61f37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3d4f3b-09f6-4226-ae0d-b1cb8ed9b1c3}" ma:internalName="TaxCatchAll" ma:showField="CatchAllData" ma:web="8f259d5f-67d9-4ba1-82b4-3d2f7f61f3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259d5f-67d9-4ba1-82b4-3d2f7f61f37a" xsi:nil="true"/>
    <lcf76f155ced4ddcb4097134ff3c332f xmlns="d55c5270-d53f-47f4-99ea-b68fe4a3d1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42B4E9-C345-448D-AFA0-8879BF8B3D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c5270-d53f-47f4-99ea-b68fe4a3d12a"/>
    <ds:schemaRef ds:uri="8f259d5f-67d9-4ba1-82b4-3d2f7f61f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DDD7EC-19F7-4B00-8597-B27E17145D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28C7A6-1D6D-40E2-800E-08D49F762B9B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8f259d5f-67d9-4ba1-82b4-3d2f7f61f37a"/>
    <ds:schemaRef ds:uri="d55c5270-d53f-47f4-99ea-b68fe4a3d12a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Výnosy 2026</vt:lpstr>
      <vt:lpstr>Rozpočet 2026</vt:lpstr>
      <vt:lpstr>Ateliery 2026</vt:lpstr>
      <vt:lpstr>Pracoviště 2026</vt:lpstr>
      <vt:lpstr>Požadavky 2026</vt:lpstr>
      <vt:lpstr>Ostatní významné výdaje</vt:lpstr>
      <vt:lpstr>Mzdy 2026</vt:lpstr>
      <vt:lpstr>Ateliery_kalkulace</vt:lpstr>
      <vt:lpstr>SDV</vt:lpstr>
      <vt:lpstr>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Zdenka Kotulánová</dc:creator>
  <cp:keywords/>
  <dc:description/>
  <cp:lastModifiedBy>Čechmánková Veronika</cp:lastModifiedBy>
  <cp:revision/>
  <dcterms:created xsi:type="dcterms:W3CDTF">2026-01-27T05:30:37Z</dcterms:created>
  <dcterms:modified xsi:type="dcterms:W3CDTF">2026-06-18T10:58:06Z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0x010100B4503B334401EC489A543AF690B671B5</vt:lpwstr>
  </property>
  <property fmtid="{D5CDD505-2E9C-101B-9397-08002B2CF9AE}" pid="3" name="MediaServiceImageTags">
    <vt:lpwstr/>
  </property>
</Properties>
</file>